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en_skoroszyt"/>
  <mc:AlternateContent xmlns:mc="http://schemas.openxmlformats.org/markup-compatibility/2006">
    <mc:Choice Requires="x15">
      <x15ac:absPath xmlns:x15ac="http://schemas.microsoft.com/office/spreadsheetml/2010/11/ac" url="I:\PP_RÓŻNE\Nowe Fundusze UE po 2021\FENIKS\Nabory\2.1 Infrastruktura ciepłownicza_efektywne\GWD\"/>
    </mc:Choice>
  </mc:AlternateContent>
  <xr:revisionPtr revIDLastSave="0" documentId="13_ncr:1_{96286816-5321-4C0F-984D-80740BBCFC6F}" xr6:coauthVersionLast="47" xr6:coauthVersionMax="47" xr10:uidLastSave="{00000000-0000-0000-0000-000000000000}"/>
  <workbookProtection workbookAlgorithmName="SHA-512" workbookHashValue="TU34s1k5tTRUvftP+JuyWQEUq4M8f5aPnDGM+TBQN4zQ1D5y94Edn1dZFe4X/D9iQ9vlHwXfYgcgKeTOmXpChg==" workbookSaltValue="h3ak9mstSpCY6HHuTd27JA==" workbookSpinCount="100000" lockStructure="1"/>
  <bookViews>
    <workbookView xWindow="-108" yWindow="-108" windowWidth="23256" windowHeight="12576" xr2:uid="{00000000-000D-0000-FFFF-FFFF00000000}"/>
  </bookViews>
  <sheets>
    <sheet name="finansowanie" sheetId="9" r:id="rId1"/>
    <sheet name="koszty" sheetId="4" r:id="rId2"/>
    <sheet name="instrukcja" sheetId="7" r:id="rId3"/>
    <sheet name="EDB_stary" sheetId="3" state="hidden" r:id="rId4"/>
  </sheets>
  <definedNames>
    <definedName name="_xlnm._FilterDatabase" localSheetId="0" hidden="1">finansowanie!$AO$15:$AP$23</definedName>
    <definedName name="_xlnm.Print_Area" localSheetId="3">EDB_stary!$A$12:$X$142</definedName>
    <definedName name="_xlnm.Print_Area" localSheetId="2">instrukcja!$A$1:$C$28</definedName>
    <definedName name="_xlnm.Print_Area" localSheetId="1">koszty!$A$1:$J$51</definedName>
    <definedName name="RAT">finansowanie!$AO$16:$AP$20</definedName>
    <definedName name="RATING">finansowanie!$AP$16:$AP$20</definedName>
    <definedName name="ratt">finansowanie!$AN$16:$AP$20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4" l="1"/>
  <c r="C5" i="4"/>
  <c r="C3" i="4"/>
  <c r="I16" i="4" l="1"/>
  <c r="I39" i="4"/>
  <c r="H39" i="4"/>
  <c r="G39" i="4"/>
  <c r="F39" i="4"/>
  <c r="K16" i="4"/>
  <c r="J37" i="4"/>
  <c r="J36" i="4"/>
  <c r="K36" i="4"/>
  <c r="F16" i="4"/>
  <c r="L26" i="4" s="1"/>
  <c r="C164" i="9"/>
  <c r="C165" i="9" s="1"/>
  <c r="W38" i="9"/>
  <c r="L38" i="9"/>
  <c r="K38" i="9"/>
  <c r="C188" i="9"/>
  <c r="C191" i="9" s="1"/>
  <c r="C192" i="9"/>
  <c r="C193" i="9" s="1"/>
  <c r="G34" i="4"/>
  <c r="F46" i="4"/>
  <c r="F48" i="4" s="1"/>
  <c r="I35" i="4" s="1"/>
  <c r="J25" i="4"/>
  <c r="J24" i="4"/>
  <c r="J23" i="4"/>
  <c r="J22" i="4"/>
  <c r="J21" i="4"/>
  <c r="J20" i="4"/>
  <c r="J19" i="4"/>
  <c r="J18" i="4"/>
  <c r="L36" i="4" l="1"/>
  <c r="J39" i="4"/>
  <c r="C195" i="9"/>
  <c r="C194" i="9"/>
  <c r="C190" i="9"/>
  <c r="C189" i="9"/>
  <c r="C167" i="9"/>
  <c r="C166" i="9"/>
  <c r="L29" i="9"/>
  <c r="B12" i="9" l="1"/>
  <c r="U12" i="9"/>
  <c r="U13" i="9" s="1"/>
  <c r="B13" i="9"/>
  <c r="K17" i="9"/>
  <c r="K19" i="9"/>
  <c r="K20" i="9" s="1"/>
  <c r="G38" i="9"/>
  <c r="T11" i="9" s="1"/>
  <c r="I38" i="9"/>
  <c r="T13" i="9" s="1"/>
  <c r="C40" i="9"/>
  <c r="C41" i="9" s="1"/>
  <c r="M40" i="9"/>
  <c r="N40" i="9"/>
  <c r="O40" i="9" s="1"/>
  <c r="C44" i="9"/>
  <c r="C46" i="9" s="1"/>
  <c r="C48" i="9"/>
  <c r="C51" i="9" s="1"/>
  <c r="C52" i="9"/>
  <c r="C56" i="9"/>
  <c r="C57" i="9" s="1"/>
  <c r="C60" i="9"/>
  <c r="C61" i="9" s="1"/>
  <c r="C64" i="9"/>
  <c r="C68" i="9"/>
  <c r="C71" i="9" s="1"/>
  <c r="C72" i="9"/>
  <c r="C73" i="9" s="1"/>
  <c r="C76" i="9"/>
  <c r="C80" i="9"/>
  <c r="C81" i="9" s="1"/>
  <c r="C84" i="9"/>
  <c r="C88" i="9"/>
  <c r="C91" i="9" s="1"/>
  <c r="C92" i="9"/>
  <c r="C93" i="9" s="1"/>
  <c r="C96" i="9"/>
  <c r="C99" i="9" s="1"/>
  <c r="C100" i="9"/>
  <c r="C103" i="9" s="1"/>
  <c r="C104" i="9"/>
  <c r="C107" i="9" s="1"/>
  <c r="C108" i="9"/>
  <c r="C109" i="9" s="1"/>
  <c r="C112" i="9"/>
  <c r="C115" i="9" s="1"/>
  <c r="C116" i="9"/>
  <c r="C119" i="9" s="1"/>
  <c r="C120" i="9"/>
  <c r="C123" i="9" s="1"/>
  <c r="C124" i="9"/>
  <c r="C126" i="9" s="1"/>
  <c r="C128" i="9"/>
  <c r="C129" i="9" s="1"/>
  <c r="C132" i="9"/>
  <c r="C133" i="9" s="1"/>
  <c r="C136" i="9"/>
  <c r="C137" i="9" s="1"/>
  <c r="C140" i="9"/>
  <c r="C143" i="9" s="1"/>
  <c r="C144" i="9"/>
  <c r="C147" i="9" s="1"/>
  <c r="C148" i="9"/>
  <c r="C150" i="9" s="1"/>
  <c r="C152" i="9"/>
  <c r="C155" i="9" s="1"/>
  <c r="C156" i="9"/>
  <c r="C157" i="9" s="1"/>
  <c r="C160" i="9"/>
  <c r="C162" i="9" s="1"/>
  <c r="C168" i="9"/>
  <c r="C172" i="9"/>
  <c r="C173" i="9" s="1"/>
  <c r="C176" i="9"/>
  <c r="C180" i="9"/>
  <c r="C181" i="9" s="1"/>
  <c r="C184" i="9"/>
  <c r="C186" i="9" s="1"/>
  <c r="F195" i="9" l="1"/>
  <c r="C134" i="9"/>
  <c r="F134" i="9" s="1"/>
  <c r="C75" i="9"/>
  <c r="F75" i="9" s="1"/>
  <c r="F193" i="9"/>
  <c r="F188" i="9"/>
  <c r="F192" i="9"/>
  <c r="F191" i="9"/>
  <c r="F189" i="9"/>
  <c r="C59" i="9"/>
  <c r="F59" i="9" s="1"/>
  <c r="C58" i="9"/>
  <c r="F58" i="9" s="1"/>
  <c r="F194" i="9"/>
  <c r="F190" i="9"/>
  <c r="C74" i="9"/>
  <c r="F74" i="9" s="1"/>
  <c r="AA22" i="9"/>
  <c r="C110" i="9"/>
  <c r="F110" i="9" s="1"/>
  <c r="C63" i="9"/>
  <c r="F63" i="9" s="1"/>
  <c r="C153" i="9"/>
  <c r="F153" i="9" s="1"/>
  <c r="C142" i="9"/>
  <c r="F142" i="9" s="1"/>
  <c r="F56" i="9"/>
  <c r="X56" i="9" s="1"/>
  <c r="C95" i="9"/>
  <c r="F95" i="9" s="1"/>
  <c r="C138" i="9"/>
  <c r="F138" i="9" s="1"/>
  <c r="C94" i="9"/>
  <c r="F94" i="9" s="1"/>
  <c r="C90" i="9"/>
  <c r="F90" i="9" s="1"/>
  <c r="C89" i="9"/>
  <c r="F89" i="9" s="1"/>
  <c r="P40" i="9"/>
  <c r="Q40" i="9" s="1"/>
  <c r="C149" i="9"/>
  <c r="F149" i="9" s="1"/>
  <c r="C117" i="9"/>
  <c r="F117" i="9" s="1"/>
  <c r="C83" i="9"/>
  <c r="F83" i="9" s="1"/>
  <c r="F71" i="9"/>
  <c r="F156" i="9"/>
  <c r="X156" i="9" s="1"/>
  <c r="C141" i="9"/>
  <c r="F141" i="9" s="1"/>
  <c r="C125" i="9"/>
  <c r="F125" i="9" s="1"/>
  <c r="F176" i="9"/>
  <c r="H176" i="9" s="1"/>
  <c r="F157" i="9"/>
  <c r="F116" i="9"/>
  <c r="X116" i="9" s="1"/>
  <c r="F173" i="9"/>
  <c r="C139" i="9"/>
  <c r="F139" i="9" s="1"/>
  <c r="C113" i="9"/>
  <c r="F113" i="9" s="1"/>
  <c r="F184" i="9"/>
  <c r="H184" i="9" s="1"/>
  <c r="F52" i="9"/>
  <c r="J52" i="9" s="1"/>
  <c r="F150" i="9"/>
  <c r="C183" i="9"/>
  <c r="F183" i="9" s="1"/>
  <c r="C159" i="9"/>
  <c r="F159" i="9" s="1"/>
  <c r="F137" i="9"/>
  <c r="C158" i="9"/>
  <c r="F158" i="9" s="1"/>
  <c r="C135" i="9"/>
  <c r="F135" i="9" s="1"/>
  <c r="C118" i="9"/>
  <c r="F118" i="9" s="1"/>
  <c r="F61" i="9"/>
  <c r="C45" i="9"/>
  <c r="F45" i="9" s="1"/>
  <c r="F166" i="9"/>
  <c r="F103" i="9"/>
  <c r="F126" i="9"/>
  <c r="F99" i="9"/>
  <c r="F51" i="9"/>
  <c r="F181" i="9"/>
  <c r="F162" i="9"/>
  <c r="F140" i="9"/>
  <c r="X140" i="9" s="1"/>
  <c r="F136" i="9"/>
  <c r="F133" i="9"/>
  <c r="F120" i="9"/>
  <c r="J120" i="9" s="1"/>
  <c r="F57" i="9"/>
  <c r="F107" i="9"/>
  <c r="F41" i="9"/>
  <c r="F155" i="9"/>
  <c r="F123" i="9"/>
  <c r="F73" i="9"/>
  <c r="B14" i="9"/>
  <c r="E176" i="9" s="1"/>
  <c r="F186" i="9"/>
  <c r="F168" i="9"/>
  <c r="X168" i="9" s="1"/>
  <c r="F164" i="9"/>
  <c r="H164" i="9" s="1"/>
  <c r="F143" i="9"/>
  <c r="F129" i="9"/>
  <c r="F104" i="9"/>
  <c r="J104" i="9" s="1"/>
  <c r="F81" i="9"/>
  <c r="F72" i="9"/>
  <c r="J72" i="9" s="1"/>
  <c r="F60" i="9"/>
  <c r="F46" i="9"/>
  <c r="C161" i="9"/>
  <c r="F161" i="9" s="1"/>
  <c r="C163" i="9"/>
  <c r="F163" i="9" s="1"/>
  <c r="C98" i="9"/>
  <c r="F98" i="9" s="1"/>
  <c r="F147" i="9"/>
  <c r="C102" i="9"/>
  <c r="F102" i="9" s="1"/>
  <c r="C69" i="9"/>
  <c r="F69" i="9" s="1"/>
  <c r="C106" i="9"/>
  <c r="F106" i="9" s="1"/>
  <c r="C185" i="9"/>
  <c r="F185" i="9" s="1"/>
  <c r="F180" i="9"/>
  <c r="H180" i="9" s="1"/>
  <c r="C177" i="9"/>
  <c r="F177" i="9" s="1"/>
  <c r="F160" i="9"/>
  <c r="X160" i="9" s="1"/>
  <c r="C151" i="9"/>
  <c r="F151" i="9" s="1"/>
  <c r="F148" i="9"/>
  <c r="F119" i="9"/>
  <c r="F112" i="9"/>
  <c r="F108" i="9"/>
  <c r="J108" i="9" s="1"/>
  <c r="C105" i="9"/>
  <c r="F105" i="9" s="1"/>
  <c r="C62" i="9"/>
  <c r="F62" i="9" s="1"/>
  <c r="N41" i="9"/>
  <c r="C178" i="9"/>
  <c r="F178" i="9" s="1"/>
  <c r="C101" i="9"/>
  <c r="F101" i="9" s="1"/>
  <c r="C97" i="9"/>
  <c r="F97" i="9" s="1"/>
  <c r="F88" i="9"/>
  <c r="C54" i="9"/>
  <c r="F54" i="9" s="1"/>
  <c r="C47" i="9"/>
  <c r="F47" i="9" s="1"/>
  <c r="C154" i="9"/>
  <c r="F154" i="9" s="1"/>
  <c r="F132" i="9"/>
  <c r="X132" i="9" s="1"/>
  <c r="F115" i="9"/>
  <c r="F109" i="9"/>
  <c r="F100" i="9"/>
  <c r="J100" i="9" s="1"/>
  <c r="F96" i="9"/>
  <c r="H96" i="9" s="1"/>
  <c r="F92" i="9"/>
  <c r="H92" i="9" s="1"/>
  <c r="F68" i="9"/>
  <c r="C42" i="9"/>
  <c r="F42" i="9" s="1"/>
  <c r="C70" i="9"/>
  <c r="F70" i="9" s="1"/>
  <c r="C187" i="9"/>
  <c r="F187" i="9" s="1"/>
  <c r="C179" i="9"/>
  <c r="F179" i="9" s="1"/>
  <c r="F165" i="9"/>
  <c r="C121" i="9"/>
  <c r="F121" i="9" s="1"/>
  <c r="C114" i="9"/>
  <c r="F114" i="9" s="1"/>
  <c r="F40" i="9"/>
  <c r="X184" i="9"/>
  <c r="F172" i="9"/>
  <c r="C174" i="9"/>
  <c r="F174" i="9" s="1"/>
  <c r="C175" i="9"/>
  <c r="F175" i="9" s="1"/>
  <c r="C169" i="9"/>
  <c r="F169" i="9" s="1"/>
  <c r="C182" i="9"/>
  <c r="F182" i="9" s="1"/>
  <c r="C171" i="9"/>
  <c r="F171" i="9" s="1"/>
  <c r="F152" i="9"/>
  <c r="F167" i="9"/>
  <c r="C146" i="9"/>
  <c r="F146" i="9" s="1"/>
  <c r="C170" i="9"/>
  <c r="F170" i="9" s="1"/>
  <c r="C145" i="9"/>
  <c r="F145" i="9" s="1"/>
  <c r="F144" i="9"/>
  <c r="F128" i="9"/>
  <c r="C130" i="9"/>
  <c r="F130" i="9" s="1"/>
  <c r="C131" i="9"/>
  <c r="F131" i="9" s="1"/>
  <c r="F124" i="9"/>
  <c r="C122" i="9"/>
  <c r="F122" i="9" s="1"/>
  <c r="C111" i="9"/>
  <c r="F111" i="9" s="1"/>
  <c r="C78" i="9"/>
  <c r="F78" i="9" s="1"/>
  <c r="C77" i="9"/>
  <c r="F77" i="9" s="1"/>
  <c r="C79" i="9"/>
  <c r="F79" i="9" s="1"/>
  <c r="F76" i="9"/>
  <c r="C67" i="9"/>
  <c r="F67" i="9" s="1"/>
  <c r="C65" i="9"/>
  <c r="F65" i="9" s="1"/>
  <c r="C66" i="9"/>
  <c r="F66" i="9" s="1"/>
  <c r="F93" i="9"/>
  <c r="F48" i="9"/>
  <c r="C50" i="9"/>
  <c r="F50" i="9" s="1"/>
  <c r="C127" i="9"/>
  <c r="F127" i="9" s="1"/>
  <c r="F64" i="9"/>
  <c r="C49" i="9"/>
  <c r="F49" i="9" s="1"/>
  <c r="F84" i="9"/>
  <c r="F44" i="9"/>
  <c r="C87" i="9"/>
  <c r="F87" i="9" s="1"/>
  <c r="C85" i="9"/>
  <c r="F85" i="9" s="1"/>
  <c r="V12" i="9"/>
  <c r="V13" i="9" s="1"/>
  <c r="F91" i="9"/>
  <c r="C86" i="9"/>
  <c r="F86" i="9" s="1"/>
  <c r="F80" i="9"/>
  <c r="C82" i="9"/>
  <c r="F82" i="9" s="1"/>
  <c r="C43" i="9"/>
  <c r="F43" i="9" s="1"/>
  <c r="C55" i="9"/>
  <c r="F55" i="9" s="1"/>
  <c r="C53" i="9"/>
  <c r="F53" i="9" s="1"/>
  <c r="H34" i="4"/>
  <c r="E77" i="9" l="1"/>
  <c r="E79" i="9"/>
  <c r="E46" i="9"/>
  <c r="J184" i="9"/>
  <c r="E87" i="9"/>
  <c r="J56" i="9"/>
  <c r="E50" i="9"/>
  <c r="E151" i="9"/>
  <c r="E57" i="9"/>
  <c r="E131" i="9"/>
  <c r="E163" i="9"/>
  <c r="J176" i="9"/>
  <c r="X192" i="9"/>
  <c r="H192" i="9"/>
  <c r="J192" i="9"/>
  <c r="H132" i="9"/>
  <c r="X188" i="9"/>
  <c r="H188" i="9"/>
  <c r="J188" i="9"/>
  <c r="E105" i="9"/>
  <c r="E191" i="9"/>
  <c r="E193" i="9"/>
  <c r="E192" i="9"/>
  <c r="E190" i="9"/>
  <c r="E195" i="9"/>
  <c r="E188" i="9"/>
  <c r="E194" i="9"/>
  <c r="E189" i="9"/>
  <c r="M41" i="9"/>
  <c r="N42" i="9" s="1"/>
  <c r="T188" i="9"/>
  <c r="T191" i="9"/>
  <c r="S191" i="9" s="1"/>
  <c r="T194" i="9"/>
  <c r="S194" i="9" s="1"/>
  <c r="T190" i="9"/>
  <c r="S190" i="9" s="1"/>
  <c r="T192" i="9"/>
  <c r="T195" i="9"/>
  <c r="T193" i="9"/>
  <c r="S193" i="9" s="1"/>
  <c r="T189" i="9"/>
  <c r="S189" i="9" s="1"/>
  <c r="E54" i="9"/>
  <c r="E53" i="9"/>
  <c r="E92" i="9"/>
  <c r="E91" i="9"/>
  <c r="E52" i="9"/>
  <c r="E118" i="9"/>
  <c r="H56" i="9"/>
  <c r="E90" i="9"/>
  <c r="E125" i="9"/>
  <c r="E150" i="9"/>
  <c r="E122" i="9"/>
  <c r="X176" i="9"/>
  <c r="X96" i="9"/>
  <c r="E83" i="9"/>
  <c r="E60" i="9"/>
  <c r="E42" i="9"/>
  <c r="J116" i="9"/>
  <c r="X52" i="9"/>
  <c r="E114" i="9"/>
  <c r="E166" i="9"/>
  <c r="E109" i="9"/>
  <c r="E81" i="9"/>
  <c r="E59" i="9"/>
  <c r="E68" i="9"/>
  <c r="E170" i="9"/>
  <c r="E61" i="9"/>
  <c r="E121" i="9"/>
  <c r="E155" i="9"/>
  <c r="E86" i="9"/>
  <c r="E56" i="9"/>
  <c r="J168" i="9"/>
  <c r="E147" i="9"/>
  <c r="H116" i="9"/>
  <c r="H168" i="9"/>
  <c r="E116" i="9"/>
  <c r="J96" i="9"/>
  <c r="X72" i="9"/>
  <c r="E119" i="9"/>
  <c r="H72" i="9"/>
  <c r="H140" i="9"/>
  <c r="J140" i="9"/>
  <c r="E64" i="9"/>
  <c r="E80" i="9"/>
  <c r="E55" i="9"/>
  <c r="E48" i="9"/>
  <c r="E95" i="9"/>
  <c r="E96" i="9"/>
  <c r="E165" i="9"/>
  <c r="E76" i="9"/>
  <c r="E126" i="9"/>
  <c r="E162" i="9"/>
  <c r="E108" i="9"/>
  <c r="E97" i="9"/>
  <c r="E172" i="9"/>
  <c r="E123" i="9"/>
  <c r="E167" i="9"/>
  <c r="J156" i="9"/>
  <c r="E62" i="9"/>
  <c r="E106" i="9"/>
  <c r="E85" i="9"/>
  <c r="E100" i="9"/>
  <c r="E153" i="9"/>
  <c r="E171" i="9"/>
  <c r="E112" i="9"/>
  <c r="E101" i="9"/>
  <c r="E143" i="9"/>
  <c r="E82" i="9"/>
  <c r="E128" i="9"/>
  <c r="E173" i="9"/>
  <c r="E51" i="9"/>
  <c r="E43" i="9"/>
  <c r="E94" i="9"/>
  <c r="E88" i="9"/>
  <c r="E84" i="9"/>
  <c r="E111" i="9"/>
  <c r="H156" i="9"/>
  <c r="E137" i="9"/>
  <c r="E183" i="9"/>
  <c r="E115" i="9"/>
  <c r="E93" i="9"/>
  <c r="E136" i="9"/>
  <c r="E177" i="9"/>
  <c r="E66" i="9"/>
  <c r="E65" i="9"/>
  <c r="E89" i="9"/>
  <c r="E49" i="9"/>
  <c r="E41" i="9"/>
  <c r="E72" i="9"/>
  <c r="E78" i="9"/>
  <c r="E74" i="9"/>
  <c r="E159" i="9"/>
  <c r="E140" i="9"/>
  <c r="E184" i="9"/>
  <c r="E138" i="9"/>
  <c r="E47" i="9"/>
  <c r="E103" i="9"/>
  <c r="E99" i="9"/>
  <c r="E70" i="9"/>
  <c r="E67" i="9"/>
  <c r="E63" i="9"/>
  <c r="J132" i="9"/>
  <c r="E117" i="9"/>
  <c r="E142" i="9"/>
  <c r="E127" i="9"/>
  <c r="E157" i="9"/>
  <c r="E180" i="9"/>
  <c r="X104" i="9"/>
  <c r="H52" i="9"/>
  <c r="J180" i="9"/>
  <c r="H100" i="9"/>
  <c r="X180" i="9"/>
  <c r="X120" i="9"/>
  <c r="X100" i="9"/>
  <c r="H120" i="9"/>
  <c r="J164" i="9"/>
  <c r="H104" i="9"/>
  <c r="X136" i="9"/>
  <c r="H136" i="9"/>
  <c r="J136" i="9"/>
  <c r="X164" i="9"/>
  <c r="E45" i="9"/>
  <c r="E149" i="9"/>
  <c r="E178" i="9"/>
  <c r="E185" i="9"/>
  <c r="E73" i="9"/>
  <c r="E152" i="9"/>
  <c r="E168" i="9"/>
  <c r="E186" i="9"/>
  <c r="E75" i="9"/>
  <c r="E124" i="9"/>
  <c r="E141" i="9"/>
  <c r="E174" i="9"/>
  <c r="E44" i="9"/>
  <c r="E104" i="9"/>
  <c r="E129" i="9"/>
  <c r="E135" i="9"/>
  <c r="E139" i="9"/>
  <c r="E158" i="9"/>
  <c r="E179" i="9"/>
  <c r="E113" i="9"/>
  <c r="E120" i="9"/>
  <c r="E130" i="9"/>
  <c r="E144" i="9"/>
  <c r="E161" i="9"/>
  <c r="E40" i="9"/>
  <c r="R40" i="9" s="1"/>
  <c r="E107" i="9"/>
  <c r="E145" i="9"/>
  <c r="E169" i="9"/>
  <c r="E187" i="9"/>
  <c r="E132" i="9"/>
  <c r="E146" i="9"/>
  <c r="E154" i="9"/>
  <c r="E160" i="9"/>
  <c r="E181" i="9"/>
  <c r="E58" i="9"/>
  <c r="E98" i="9"/>
  <c r="E133" i="9"/>
  <c r="E164" i="9"/>
  <c r="E182" i="9"/>
  <c r="E69" i="9"/>
  <c r="E110" i="9"/>
  <c r="E148" i="9"/>
  <c r="E156" i="9"/>
  <c r="E175" i="9"/>
  <c r="E71" i="9"/>
  <c r="E102" i="9"/>
  <c r="E134" i="9"/>
  <c r="X60" i="9"/>
  <c r="H60" i="9"/>
  <c r="J60" i="9"/>
  <c r="H108" i="9"/>
  <c r="X148" i="9"/>
  <c r="J148" i="9"/>
  <c r="H148" i="9"/>
  <c r="J88" i="9"/>
  <c r="H88" i="9"/>
  <c r="X88" i="9"/>
  <c r="X112" i="9"/>
  <c r="J112" i="9"/>
  <c r="J68" i="9"/>
  <c r="H68" i="9"/>
  <c r="X68" i="9"/>
  <c r="J160" i="9"/>
  <c r="H160" i="9"/>
  <c r="J40" i="9"/>
  <c r="H40" i="9"/>
  <c r="X40" i="9"/>
  <c r="O41" i="9"/>
  <c r="P41" i="9"/>
  <c r="X92" i="9"/>
  <c r="J92" i="9"/>
  <c r="H112" i="9"/>
  <c r="X108" i="9"/>
  <c r="H48" i="9"/>
  <c r="J48" i="9"/>
  <c r="X48" i="9"/>
  <c r="X144" i="9"/>
  <c r="H144" i="9"/>
  <c r="J144" i="9"/>
  <c r="X152" i="9"/>
  <c r="H152" i="9"/>
  <c r="J152" i="9"/>
  <c r="X64" i="9"/>
  <c r="H64" i="9"/>
  <c r="J64" i="9"/>
  <c r="H80" i="9"/>
  <c r="X80" i="9"/>
  <c r="J80" i="9"/>
  <c r="H128" i="9"/>
  <c r="J128" i="9"/>
  <c r="X128" i="9"/>
  <c r="T40" i="9"/>
  <c r="T49" i="9"/>
  <c r="S49" i="9" s="1"/>
  <c r="T59" i="9"/>
  <c r="S59" i="9" s="1"/>
  <c r="T70" i="9"/>
  <c r="S70" i="9" s="1"/>
  <c r="T72" i="9"/>
  <c r="T81" i="9"/>
  <c r="S81" i="9" s="1"/>
  <c r="T91" i="9"/>
  <c r="S91" i="9" s="1"/>
  <c r="T42" i="9"/>
  <c r="S42" i="9" s="1"/>
  <c r="T44" i="9"/>
  <c r="T53" i="9"/>
  <c r="S53" i="9" s="1"/>
  <c r="T63" i="9"/>
  <c r="S63" i="9" s="1"/>
  <c r="T74" i="9"/>
  <c r="S74" i="9" s="1"/>
  <c r="T76" i="9"/>
  <c r="T85" i="9"/>
  <c r="S85" i="9" s="1"/>
  <c r="T55" i="9"/>
  <c r="S55" i="9" s="1"/>
  <c r="T77" i="9"/>
  <c r="S77" i="9" s="1"/>
  <c r="T79" i="9"/>
  <c r="S79" i="9" s="1"/>
  <c r="T90" i="9"/>
  <c r="S90" i="9" s="1"/>
  <c r="T102" i="9"/>
  <c r="S102" i="9" s="1"/>
  <c r="T104" i="9"/>
  <c r="T41" i="9"/>
  <c r="S41" i="9" s="1"/>
  <c r="T43" i="9"/>
  <c r="S43" i="9" s="1"/>
  <c r="T60" i="9"/>
  <c r="T65" i="9"/>
  <c r="S65" i="9" s="1"/>
  <c r="T67" i="9"/>
  <c r="S67" i="9" s="1"/>
  <c r="T80" i="9"/>
  <c r="T86" i="9"/>
  <c r="S86" i="9" s="1"/>
  <c r="T95" i="9"/>
  <c r="S95" i="9" s="1"/>
  <c r="T106" i="9"/>
  <c r="S106" i="9" s="1"/>
  <c r="T108" i="9"/>
  <c r="T50" i="9"/>
  <c r="S50" i="9" s="1"/>
  <c r="T56" i="9"/>
  <c r="T66" i="9"/>
  <c r="S66" i="9" s="1"/>
  <c r="T87" i="9"/>
  <c r="S87" i="9" s="1"/>
  <c r="T99" i="9"/>
  <c r="S99" i="9" s="1"/>
  <c r="T52" i="9"/>
  <c r="T61" i="9"/>
  <c r="S61" i="9" s="1"/>
  <c r="T45" i="9"/>
  <c r="S45" i="9" s="1"/>
  <c r="T47" i="9"/>
  <c r="S47" i="9" s="1"/>
  <c r="T58" i="9"/>
  <c r="S58" i="9" s="1"/>
  <c r="T69" i="9"/>
  <c r="S69" i="9" s="1"/>
  <c r="T71" i="9"/>
  <c r="S71" i="9" s="1"/>
  <c r="T84" i="9"/>
  <c r="T93" i="9"/>
  <c r="S93" i="9" s="1"/>
  <c r="T96" i="9"/>
  <c r="T82" i="9"/>
  <c r="S82" i="9" s="1"/>
  <c r="T94" i="9"/>
  <c r="S94" i="9" s="1"/>
  <c r="T118" i="9"/>
  <c r="S118" i="9" s="1"/>
  <c r="T120" i="9"/>
  <c r="T129" i="9"/>
  <c r="S129" i="9" s="1"/>
  <c r="T139" i="9"/>
  <c r="S139" i="9" s="1"/>
  <c r="T51" i="9"/>
  <c r="S51" i="9" s="1"/>
  <c r="T111" i="9"/>
  <c r="S111" i="9" s="1"/>
  <c r="T122" i="9"/>
  <c r="S122" i="9" s="1"/>
  <c r="T124" i="9"/>
  <c r="T133" i="9"/>
  <c r="S133" i="9" s="1"/>
  <c r="T143" i="9"/>
  <c r="S143" i="9" s="1"/>
  <c r="T103" i="9"/>
  <c r="S103" i="9" s="1"/>
  <c r="T115" i="9"/>
  <c r="S115" i="9" s="1"/>
  <c r="T126" i="9"/>
  <c r="S126" i="9" s="1"/>
  <c r="T128" i="9"/>
  <c r="T137" i="9"/>
  <c r="S137" i="9" s="1"/>
  <c r="T62" i="9"/>
  <c r="S62" i="9" s="1"/>
  <c r="T64" i="9"/>
  <c r="T107" i="9"/>
  <c r="S107" i="9" s="1"/>
  <c r="T109" i="9"/>
  <c r="S109" i="9" s="1"/>
  <c r="T119" i="9"/>
  <c r="S119" i="9" s="1"/>
  <c r="T130" i="9"/>
  <c r="S130" i="9" s="1"/>
  <c r="T132" i="9"/>
  <c r="T141" i="9"/>
  <c r="S141" i="9" s="1"/>
  <c r="T57" i="9"/>
  <c r="S57" i="9" s="1"/>
  <c r="T89" i="9"/>
  <c r="S89" i="9" s="1"/>
  <c r="T92" i="9"/>
  <c r="T105" i="9"/>
  <c r="S105" i="9" s="1"/>
  <c r="T113" i="9"/>
  <c r="S113" i="9" s="1"/>
  <c r="T123" i="9"/>
  <c r="S123" i="9" s="1"/>
  <c r="T134" i="9"/>
  <c r="S134" i="9" s="1"/>
  <c r="T78" i="9"/>
  <c r="S78" i="9" s="1"/>
  <c r="T83" i="9"/>
  <c r="S83" i="9" s="1"/>
  <c r="T88" i="9"/>
  <c r="T100" i="9"/>
  <c r="T101" i="9"/>
  <c r="S101" i="9" s="1"/>
  <c r="T117" i="9"/>
  <c r="S117" i="9" s="1"/>
  <c r="T127" i="9"/>
  <c r="S127" i="9" s="1"/>
  <c r="T138" i="9"/>
  <c r="S138" i="9" s="1"/>
  <c r="T46" i="9"/>
  <c r="S46" i="9" s="1"/>
  <c r="T48" i="9"/>
  <c r="T114" i="9"/>
  <c r="S114" i="9" s="1"/>
  <c r="T116" i="9"/>
  <c r="T125" i="9"/>
  <c r="S125" i="9" s="1"/>
  <c r="T135" i="9"/>
  <c r="S135" i="9" s="1"/>
  <c r="T54" i="9"/>
  <c r="S54" i="9" s="1"/>
  <c r="T158" i="9"/>
  <c r="S158" i="9" s="1"/>
  <c r="T160" i="9"/>
  <c r="T169" i="9"/>
  <c r="S169" i="9" s="1"/>
  <c r="T179" i="9"/>
  <c r="S179" i="9" s="1"/>
  <c r="T97" i="9"/>
  <c r="S97" i="9" s="1"/>
  <c r="T121" i="9"/>
  <c r="S121" i="9" s="1"/>
  <c r="T145" i="9"/>
  <c r="S145" i="9" s="1"/>
  <c r="T151" i="9"/>
  <c r="S151" i="9" s="1"/>
  <c r="T162" i="9"/>
  <c r="S162" i="9" s="1"/>
  <c r="T164" i="9"/>
  <c r="T173" i="9"/>
  <c r="S173" i="9" s="1"/>
  <c r="T183" i="9"/>
  <c r="S183" i="9" s="1"/>
  <c r="T73" i="9"/>
  <c r="S73" i="9" s="1"/>
  <c r="T112" i="9"/>
  <c r="T131" i="9"/>
  <c r="S131" i="9" s="1"/>
  <c r="T146" i="9"/>
  <c r="S146" i="9" s="1"/>
  <c r="T147" i="9"/>
  <c r="S147" i="9" s="1"/>
  <c r="T155" i="9"/>
  <c r="S155" i="9" s="1"/>
  <c r="T166" i="9"/>
  <c r="S166" i="9" s="1"/>
  <c r="T168" i="9"/>
  <c r="T177" i="9"/>
  <c r="S177" i="9" s="1"/>
  <c r="T187" i="9"/>
  <c r="S187" i="9" s="1"/>
  <c r="T182" i="9"/>
  <c r="S182" i="9" s="1"/>
  <c r="T156" i="9"/>
  <c r="T165" i="9"/>
  <c r="S165" i="9" s="1"/>
  <c r="T110" i="9"/>
  <c r="S110" i="9" s="1"/>
  <c r="T149" i="9"/>
  <c r="S149" i="9" s="1"/>
  <c r="T159" i="9"/>
  <c r="S159" i="9" s="1"/>
  <c r="T170" i="9"/>
  <c r="S170" i="9" s="1"/>
  <c r="T172" i="9"/>
  <c r="T181" i="9"/>
  <c r="S181" i="9" s="1"/>
  <c r="T180" i="9"/>
  <c r="T98" i="9"/>
  <c r="S98" i="9" s="1"/>
  <c r="T153" i="9"/>
  <c r="S153" i="9" s="1"/>
  <c r="T163" i="9"/>
  <c r="S163" i="9" s="1"/>
  <c r="T174" i="9"/>
  <c r="S174" i="9" s="1"/>
  <c r="T176" i="9"/>
  <c r="T185" i="9"/>
  <c r="S185" i="9" s="1"/>
  <c r="T184" i="9"/>
  <c r="T144" i="9"/>
  <c r="T148" i="9"/>
  <c r="T157" i="9"/>
  <c r="S157" i="9" s="1"/>
  <c r="T167" i="9"/>
  <c r="S167" i="9" s="1"/>
  <c r="T178" i="9"/>
  <c r="S178" i="9" s="1"/>
  <c r="T75" i="9"/>
  <c r="S75" i="9" s="1"/>
  <c r="T136" i="9"/>
  <c r="T154" i="9"/>
  <c r="S154" i="9" s="1"/>
  <c r="T68" i="9"/>
  <c r="T140" i="9"/>
  <c r="T142" i="9"/>
  <c r="S142" i="9" s="1"/>
  <c r="T150" i="9"/>
  <c r="S150" i="9" s="1"/>
  <c r="T152" i="9"/>
  <c r="T161" i="9"/>
  <c r="S161" i="9" s="1"/>
  <c r="T171" i="9"/>
  <c r="S171" i="9" s="1"/>
  <c r="T175" i="9"/>
  <c r="S175" i="9" s="1"/>
  <c r="T186" i="9"/>
  <c r="S186" i="9" s="1"/>
  <c r="H44" i="9"/>
  <c r="J44" i="9"/>
  <c r="X44" i="9"/>
  <c r="J84" i="9"/>
  <c r="X84" i="9"/>
  <c r="H84" i="9"/>
  <c r="H124" i="9"/>
  <c r="J124" i="9"/>
  <c r="X124" i="9"/>
  <c r="X172" i="9"/>
  <c r="H172" i="9"/>
  <c r="J172" i="9"/>
  <c r="H76" i="9"/>
  <c r="J76" i="9"/>
  <c r="X76" i="9"/>
  <c r="H16" i="4"/>
  <c r="G16" i="4"/>
  <c r="L39" i="4" l="1"/>
  <c r="G35" i="4"/>
  <c r="F17" i="4"/>
  <c r="G17" i="4"/>
  <c r="I17" i="4"/>
  <c r="H35" i="4"/>
  <c r="H17" i="4"/>
  <c r="X38" i="9"/>
  <c r="S195" i="9"/>
  <c r="T38" i="9"/>
  <c r="S192" i="9"/>
  <c r="U192" i="9"/>
  <c r="S188" i="9"/>
  <c r="U188" i="9"/>
  <c r="V188" i="9" s="1"/>
  <c r="M42" i="9"/>
  <c r="M43" i="9" s="1"/>
  <c r="M44" i="9" s="1"/>
  <c r="Q41" i="9"/>
  <c r="R41" i="9" s="1"/>
  <c r="O42" i="9"/>
  <c r="P42" i="9"/>
  <c r="H38" i="9"/>
  <c r="W11" i="9" s="1"/>
  <c r="J38" i="9"/>
  <c r="W13" i="9" s="1"/>
  <c r="S172" i="9"/>
  <c r="U172" i="9"/>
  <c r="V172" i="9" s="1"/>
  <c r="U116" i="9"/>
  <c r="V116" i="9" s="1"/>
  <c r="S116" i="9"/>
  <c r="S184" i="9"/>
  <c r="U184" i="9"/>
  <c r="V184" i="9" s="1"/>
  <c r="S84" i="9"/>
  <c r="U84" i="9"/>
  <c r="V84" i="9" s="1"/>
  <c r="S112" i="9"/>
  <c r="U112" i="9"/>
  <c r="V112" i="9" s="1"/>
  <c r="S88" i="9"/>
  <c r="U88" i="9"/>
  <c r="V88" i="9" s="1"/>
  <c r="U64" i="9"/>
  <c r="V64" i="9" s="1"/>
  <c r="S64" i="9"/>
  <c r="S56" i="9"/>
  <c r="U56" i="9"/>
  <c r="V56" i="9" s="1"/>
  <c r="S80" i="9"/>
  <c r="U80" i="9"/>
  <c r="V80" i="9" s="1"/>
  <c r="S176" i="9"/>
  <c r="U176" i="9"/>
  <c r="V176" i="9" s="1"/>
  <c r="U100" i="9"/>
  <c r="V100" i="9" s="1"/>
  <c r="S100" i="9"/>
  <c r="U40" i="9"/>
  <c r="S40" i="9"/>
  <c r="S48" i="9"/>
  <c r="U48" i="9"/>
  <c r="V48" i="9" s="1"/>
  <c r="S124" i="9"/>
  <c r="U124" i="9"/>
  <c r="V124" i="9" s="1"/>
  <c r="S60" i="9"/>
  <c r="U60" i="9"/>
  <c r="V60" i="9" s="1"/>
  <c r="S136" i="9"/>
  <c r="U136" i="9"/>
  <c r="V136" i="9" s="1"/>
  <c r="S92" i="9"/>
  <c r="U92" i="9"/>
  <c r="V92" i="9" s="1"/>
  <c r="U120" i="9"/>
  <c r="V120" i="9" s="1"/>
  <c r="S120" i="9"/>
  <c r="S44" i="9"/>
  <c r="U44" i="9"/>
  <c r="V44" i="9" s="1"/>
  <c r="U152" i="9"/>
  <c r="V152" i="9" s="1"/>
  <c r="S152" i="9"/>
  <c r="S168" i="9"/>
  <c r="U168" i="9"/>
  <c r="V168" i="9" s="1"/>
  <c r="S164" i="9"/>
  <c r="U164" i="9"/>
  <c r="V164" i="9" s="1"/>
  <c r="U160" i="9"/>
  <c r="V160" i="9" s="1"/>
  <c r="S160" i="9"/>
  <c r="S108" i="9"/>
  <c r="U108" i="9"/>
  <c r="V108" i="9" s="1"/>
  <c r="S140" i="9"/>
  <c r="U140" i="9"/>
  <c r="V140" i="9" s="1"/>
  <c r="S148" i="9"/>
  <c r="U148" i="9"/>
  <c r="V148" i="9" s="1"/>
  <c r="S132" i="9"/>
  <c r="U132" i="9"/>
  <c r="V132" i="9" s="1"/>
  <c r="S128" i="9"/>
  <c r="U128" i="9"/>
  <c r="V128" i="9" s="1"/>
  <c r="S96" i="9"/>
  <c r="U96" i="9"/>
  <c r="V96" i="9" s="1"/>
  <c r="S76" i="9"/>
  <c r="U76" i="9"/>
  <c r="V76" i="9" s="1"/>
  <c r="U72" i="9"/>
  <c r="V72" i="9" s="1"/>
  <c r="S72" i="9"/>
  <c r="U68" i="9"/>
  <c r="V68" i="9" s="1"/>
  <c r="S68" i="9"/>
  <c r="U144" i="9"/>
  <c r="V144" i="9" s="1"/>
  <c r="S144" i="9"/>
  <c r="S180" i="9"/>
  <c r="U180" i="9"/>
  <c r="V180" i="9" s="1"/>
  <c r="U156" i="9"/>
  <c r="V156" i="9" s="1"/>
  <c r="S156" i="9"/>
  <c r="U52" i="9"/>
  <c r="V52" i="9" s="1"/>
  <c r="S52" i="9"/>
  <c r="U104" i="9"/>
  <c r="V104" i="9" s="1"/>
  <c r="S104" i="9"/>
  <c r="J17" i="4" l="1"/>
  <c r="M45" i="9"/>
  <c r="M46" i="9" s="1"/>
  <c r="S38" i="9"/>
  <c r="V192" i="9"/>
  <c r="U38" i="9"/>
  <c r="N43" i="9"/>
  <c r="N44" i="9" s="1"/>
  <c r="W14" i="9"/>
  <c r="Q42" i="9"/>
  <c r="R42" i="9" s="1"/>
  <c r="V40" i="9"/>
  <c r="V38" i="9" l="1"/>
  <c r="O43" i="9"/>
  <c r="P43" i="9"/>
  <c r="N45" i="9"/>
  <c r="P44" i="9"/>
  <c r="O44" i="9"/>
  <c r="M47" i="9"/>
  <c r="K19" i="3"/>
  <c r="K20" i="3" s="1"/>
  <c r="U23" i="3"/>
  <c r="K17" i="3"/>
  <c r="L33" i="3"/>
  <c r="C135" i="3"/>
  <c r="C136" i="3" s="1"/>
  <c r="C139" i="3"/>
  <c r="C142" i="3" s="1"/>
  <c r="C123" i="3"/>
  <c r="C126" i="3" s="1"/>
  <c r="C125" i="3"/>
  <c r="C127" i="3"/>
  <c r="C129" i="3" s="1"/>
  <c r="C131" i="3"/>
  <c r="C134" i="3" s="1"/>
  <c r="J16" i="4"/>
  <c r="L16" i="4" s="1"/>
  <c r="C119" i="3"/>
  <c r="C120" i="3" s="1"/>
  <c r="C115" i="3"/>
  <c r="C117" i="3" s="1"/>
  <c r="C111" i="3"/>
  <c r="C112" i="3" s="1"/>
  <c r="C107" i="3"/>
  <c r="C110" i="3" s="1"/>
  <c r="C103" i="3"/>
  <c r="C105" i="3" s="1"/>
  <c r="C99" i="3"/>
  <c r="C101" i="3" s="1"/>
  <c r="C95" i="3"/>
  <c r="C96" i="3" s="1"/>
  <c r="C97" i="3"/>
  <c r="C91" i="3"/>
  <c r="C92" i="3" s="1"/>
  <c r="C87" i="3"/>
  <c r="C88" i="3" s="1"/>
  <c r="C83" i="3"/>
  <c r="C84" i="3" s="1"/>
  <c r="C79" i="3"/>
  <c r="C82" i="3" s="1"/>
  <c r="C81" i="3"/>
  <c r="C75" i="3"/>
  <c r="C76" i="3" s="1"/>
  <c r="C71" i="3"/>
  <c r="C73" i="3" s="1"/>
  <c r="C67" i="3"/>
  <c r="C69" i="3" s="1"/>
  <c r="C63" i="3"/>
  <c r="C66" i="3" s="1"/>
  <c r="C59" i="3"/>
  <c r="C55" i="3"/>
  <c r="C57" i="3" s="1"/>
  <c r="C51" i="3"/>
  <c r="C54" i="3" s="1"/>
  <c r="C47" i="3"/>
  <c r="C50" i="3" s="1"/>
  <c r="C43" i="3"/>
  <c r="C45" i="3" s="1"/>
  <c r="C39" i="3"/>
  <c r="C42" i="3" s="1"/>
  <c r="N35" i="3"/>
  <c r="M35" i="3"/>
  <c r="C35" i="3"/>
  <c r="C37" i="3" s="1"/>
  <c r="I33" i="3"/>
  <c r="U10" i="3" s="1"/>
  <c r="G33" i="3"/>
  <c r="B8" i="3" s="1"/>
  <c r="B10" i="3"/>
  <c r="V9" i="3"/>
  <c r="V10" i="3" s="1"/>
  <c r="B9" i="3"/>
  <c r="AD8" i="3"/>
  <c r="C124" i="3"/>
  <c r="C80" i="3"/>
  <c r="C41" i="3"/>
  <c r="C108" i="3"/>
  <c r="C62" i="3"/>
  <c r="W9" i="3"/>
  <c r="K31" i="9" l="1"/>
  <c r="K30" i="9" s="1"/>
  <c r="K37" i="4" s="1"/>
  <c r="L37" i="4" s="1"/>
  <c r="Q43" i="9"/>
  <c r="R43" i="9" s="1"/>
  <c r="M48" i="9"/>
  <c r="M49" i="9" s="1"/>
  <c r="M50" i="9" s="1"/>
  <c r="C78" i="3"/>
  <c r="C98" i="3"/>
  <c r="Q44" i="9"/>
  <c r="R44" i="9" s="1"/>
  <c r="P45" i="9"/>
  <c r="O45" i="9"/>
  <c r="N46" i="9"/>
  <c r="C118" i="3"/>
  <c r="X19" i="3"/>
  <c r="AP19" i="3" s="1"/>
  <c r="F79" i="3"/>
  <c r="Y79" i="3" s="1"/>
  <c r="C68" i="3"/>
  <c r="F68" i="3" s="1"/>
  <c r="F101" i="3"/>
  <c r="F131" i="3"/>
  <c r="H131" i="3" s="1"/>
  <c r="F99" i="3"/>
  <c r="Y99" i="3" s="1"/>
  <c r="C52" i="3"/>
  <c r="F52" i="3" s="1"/>
  <c r="C94" i="3"/>
  <c r="F94" i="3" s="1"/>
  <c r="C93" i="3"/>
  <c r="C137" i="3"/>
  <c r="F59" i="3"/>
  <c r="H59" i="3" s="1"/>
  <c r="C133" i="3"/>
  <c r="F133" i="3" s="1"/>
  <c r="F66" i="3"/>
  <c r="F73" i="3"/>
  <c r="C70" i="3"/>
  <c r="F70" i="3" s="1"/>
  <c r="F98" i="3"/>
  <c r="C100" i="3"/>
  <c r="F100" i="3" s="1"/>
  <c r="C53" i="3"/>
  <c r="F53" i="3" s="1"/>
  <c r="C122" i="3"/>
  <c r="F122" i="3" s="1"/>
  <c r="C102" i="3"/>
  <c r="F102" i="3" s="1"/>
  <c r="C141" i="3"/>
  <c r="F141" i="3" s="1"/>
  <c r="C140" i="3"/>
  <c r="F140" i="3" s="1"/>
  <c r="C121" i="3"/>
  <c r="F121" i="3" s="1"/>
  <c r="C56" i="3"/>
  <c r="F56" i="3" s="1"/>
  <c r="N36" i="3"/>
  <c r="O36" i="3" s="1"/>
  <c r="C132" i="3"/>
  <c r="C109" i="3"/>
  <c r="F109" i="3" s="1"/>
  <c r="C58" i="3"/>
  <c r="F58" i="3" s="1"/>
  <c r="C106" i="3"/>
  <c r="F106" i="3" s="1"/>
  <c r="F117" i="3"/>
  <c r="F126" i="3"/>
  <c r="F111" i="3"/>
  <c r="J111" i="3" s="1"/>
  <c r="C60" i="3"/>
  <c r="F60" i="3" s="1"/>
  <c r="F43" i="3"/>
  <c r="H43" i="3" s="1"/>
  <c r="F69" i="3"/>
  <c r="F47" i="3"/>
  <c r="Y47" i="3" s="1"/>
  <c r="C74" i="3"/>
  <c r="F74" i="3" s="1"/>
  <c r="C138" i="3"/>
  <c r="F138" i="3" s="1"/>
  <c r="F39" i="3"/>
  <c r="H39" i="3" s="1"/>
  <c r="C89" i="3"/>
  <c r="F89" i="3" s="1"/>
  <c r="C61" i="3"/>
  <c r="F61" i="3" s="1"/>
  <c r="C48" i="3"/>
  <c r="C40" i="3"/>
  <c r="F40" i="3" s="1"/>
  <c r="C38" i="3"/>
  <c r="F38" i="3" s="1"/>
  <c r="F87" i="3"/>
  <c r="H87" i="3" s="1"/>
  <c r="C90" i="3"/>
  <c r="F90" i="3" s="1"/>
  <c r="C49" i="3"/>
  <c r="F49" i="3" s="1"/>
  <c r="C64" i="3"/>
  <c r="F64" i="3" s="1"/>
  <c r="C114" i="3"/>
  <c r="F114" i="3" s="1"/>
  <c r="C113" i="3"/>
  <c r="C72" i="3"/>
  <c r="F72" i="3" s="1"/>
  <c r="O35" i="3"/>
  <c r="F35" i="3"/>
  <c r="Y35" i="3" s="1"/>
  <c r="C65" i="3"/>
  <c r="F65" i="3" s="1"/>
  <c r="C46" i="3"/>
  <c r="F46" i="3" s="1"/>
  <c r="C44" i="3"/>
  <c r="F44" i="3" s="1"/>
  <c r="C77" i="3"/>
  <c r="F127" i="3"/>
  <c r="H127" i="3" s="1"/>
  <c r="C128" i="3"/>
  <c r="F128" i="3" s="1"/>
  <c r="C86" i="3"/>
  <c r="F86" i="3" s="1"/>
  <c r="C104" i="3"/>
  <c r="F104" i="3" s="1"/>
  <c r="C85" i="3"/>
  <c r="F85" i="3" s="1"/>
  <c r="C116" i="3"/>
  <c r="F116" i="3" s="1"/>
  <c r="C130" i="3"/>
  <c r="F130" i="3" s="1"/>
  <c r="C36" i="3"/>
  <c r="F36" i="3" s="1"/>
  <c r="F125" i="3"/>
  <c r="F88" i="3"/>
  <c r="F82" i="3"/>
  <c r="F103" i="3"/>
  <c r="J103" i="3" s="1"/>
  <c r="F97" i="3"/>
  <c r="F108" i="3"/>
  <c r="F67" i="3"/>
  <c r="J67" i="3" s="1"/>
  <c r="F92" i="3"/>
  <c r="F105" i="3"/>
  <c r="F129" i="3"/>
  <c r="J43" i="3"/>
  <c r="F124" i="3"/>
  <c r="P35" i="3"/>
  <c r="Y127" i="3"/>
  <c r="F96" i="3"/>
  <c r="F45" i="3"/>
  <c r="F107" i="3"/>
  <c r="Y107" i="3" s="1"/>
  <c r="F112" i="3"/>
  <c r="F62" i="3"/>
  <c r="F142" i="3"/>
  <c r="F118" i="3"/>
  <c r="F63" i="3"/>
  <c r="F48" i="3"/>
  <c r="F93" i="3"/>
  <c r="J127" i="3"/>
  <c r="Y43" i="3"/>
  <c r="F50" i="3"/>
  <c r="F55" i="3"/>
  <c r="J55" i="3" s="1"/>
  <c r="F113" i="3"/>
  <c r="F135" i="3"/>
  <c r="F41" i="3"/>
  <c r="F132" i="3"/>
  <c r="F120" i="3"/>
  <c r="F80" i="3"/>
  <c r="F91" i="3"/>
  <c r="F84" i="3"/>
  <c r="F95" i="3"/>
  <c r="F115" i="3"/>
  <c r="Y115" i="3" s="1"/>
  <c r="F76" i="3"/>
  <c r="H79" i="3"/>
  <c r="F81" i="3"/>
  <c r="F37" i="3"/>
  <c r="F134" i="3"/>
  <c r="F119" i="3"/>
  <c r="F75" i="3"/>
  <c r="F137" i="3"/>
  <c r="F51" i="3"/>
  <c r="F57" i="3"/>
  <c r="F110" i="3"/>
  <c r="F123" i="3"/>
  <c r="F42" i="3"/>
  <c r="F83" i="3"/>
  <c r="F139" i="3"/>
  <c r="B11" i="3"/>
  <c r="F71" i="3"/>
  <c r="F78" i="3"/>
  <c r="F136" i="3"/>
  <c r="F77" i="3"/>
  <c r="F54" i="3"/>
  <c r="K32" i="9" l="1"/>
  <c r="Y38" i="9"/>
  <c r="K35" i="9"/>
  <c r="K34" i="9"/>
  <c r="Y39" i="3"/>
  <c r="P46" i="9"/>
  <c r="O46" i="9"/>
  <c r="N47" i="9"/>
  <c r="Q45" i="9"/>
  <c r="R45" i="9" s="1"/>
  <c r="M51" i="9"/>
  <c r="Y131" i="3"/>
  <c r="Q35" i="3"/>
  <c r="H99" i="3"/>
  <c r="J99" i="3"/>
  <c r="J131" i="3"/>
  <c r="J79" i="3"/>
  <c r="J59" i="3"/>
  <c r="Y59" i="3"/>
  <c r="H35" i="3"/>
  <c r="J35" i="3"/>
  <c r="P36" i="3"/>
  <c r="Q36" i="3" s="1"/>
  <c r="H67" i="3"/>
  <c r="Y67" i="3"/>
  <c r="Y111" i="3"/>
  <c r="J47" i="3"/>
  <c r="J39" i="3"/>
  <c r="H47" i="3"/>
  <c r="H111" i="3"/>
  <c r="Y103" i="3"/>
  <c r="J87" i="3"/>
  <c r="Y87" i="3"/>
  <c r="H103" i="3"/>
  <c r="H55" i="3"/>
  <c r="J63" i="3"/>
  <c r="H63" i="3"/>
  <c r="Y63" i="3"/>
  <c r="H107" i="3"/>
  <c r="J107" i="3"/>
  <c r="Y55" i="3"/>
  <c r="Y91" i="3"/>
  <c r="H91" i="3"/>
  <c r="J91" i="3"/>
  <c r="Y95" i="3"/>
  <c r="J95" i="3"/>
  <c r="H95" i="3"/>
  <c r="J135" i="3"/>
  <c r="H135" i="3"/>
  <c r="Y135" i="3"/>
  <c r="J115" i="3"/>
  <c r="H115" i="3"/>
  <c r="J71" i="3"/>
  <c r="H71" i="3"/>
  <c r="Y71" i="3"/>
  <c r="H51" i="3"/>
  <c r="J51" i="3"/>
  <c r="Y51" i="3"/>
  <c r="H123" i="3"/>
  <c r="Y123" i="3"/>
  <c r="J123" i="3"/>
  <c r="H83" i="3"/>
  <c r="Y83" i="3"/>
  <c r="J83" i="3"/>
  <c r="J139" i="3"/>
  <c r="H139" i="3"/>
  <c r="Y139" i="3"/>
  <c r="H119" i="3"/>
  <c r="J119" i="3"/>
  <c r="Y119" i="3"/>
  <c r="E98" i="3"/>
  <c r="E63" i="3"/>
  <c r="E78" i="3"/>
  <c r="E42" i="3"/>
  <c r="E70" i="3"/>
  <c r="E137" i="3"/>
  <c r="E72" i="3"/>
  <c r="E86" i="3"/>
  <c r="E88" i="3"/>
  <c r="E118" i="3"/>
  <c r="E104" i="3"/>
  <c r="E37" i="3"/>
  <c r="E39" i="3"/>
  <c r="E135" i="3"/>
  <c r="E136" i="3"/>
  <c r="E93" i="3"/>
  <c r="E35" i="3"/>
  <c r="E56" i="3"/>
  <c r="E140" i="3"/>
  <c r="E114" i="3"/>
  <c r="E122" i="3"/>
  <c r="E112" i="3"/>
  <c r="E107" i="3"/>
  <c r="E141" i="3"/>
  <c r="E106" i="3"/>
  <c r="E40" i="3"/>
  <c r="E62" i="3"/>
  <c r="E48" i="3"/>
  <c r="E73" i="3"/>
  <c r="E105" i="3"/>
  <c r="E41" i="3"/>
  <c r="E49" i="3"/>
  <c r="E95" i="3"/>
  <c r="E79" i="3"/>
  <c r="E55" i="3"/>
  <c r="E81" i="3"/>
  <c r="E97" i="3"/>
  <c r="E133" i="3"/>
  <c r="E87" i="3"/>
  <c r="E132" i="3"/>
  <c r="E103" i="3"/>
  <c r="E74" i="3"/>
  <c r="E96" i="3"/>
  <c r="E58" i="3"/>
  <c r="E100" i="3"/>
  <c r="E108" i="3"/>
  <c r="E53" i="3"/>
  <c r="E127" i="3"/>
  <c r="E99" i="3"/>
  <c r="E117" i="3"/>
  <c r="E68" i="3"/>
  <c r="E69" i="3"/>
  <c r="E130" i="3"/>
  <c r="E67" i="3"/>
  <c r="E115" i="3"/>
  <c r="E43" i="3"/>
  <c r="E90" i="3"/>
  <c r="E66" i="3"/>
  <c r="E36" i="3"/>
  <c r="R36" i="3" s="1"/>
  <c r="E139" i="3"/>
  <c r="E124" i="3"/>
  <c r="E125" i="3"/>
  <c r="E59" i="3"/>
  <c r="E83" i="3"/>
  <c r="E61" i="3"/>
  <c r="E50" i="3"/>
  <c r="E113" i="3"/>
  <c r="E110" i="3"/>
  <c r="E64" i="3"/>
  <c r="E89" i="3"/>
  <c r="E138" i="3"/>
  <c r="E75" i="3"/>
  <c r="E119" i="3"/>
  <c r="E142" i="3"/>
  <c r="E126" i="3"/>
  <c r="E111" i="3"/>
  <c r="E60" i="3"/>
  <c r="E85" i="3"/>
  <c r="E71" i="3"/>
  <c r="E44" i="3"/>
  <c r="E101" i="3"/>
  <c r="E84" i="3"/>
  <c r="E51" i="3"/>
  <c r="E57" i="3"/>
  <c r="E77" i="3"/>
  <c r="E116" i="3"/>
  <c r="E47" i="3"/>
  <c r="E76" i="3"/>
  <c r="E46" i="3"/>
  <c r="E65" i="3"/>
  <c r="E82" i="3"/>
  <c r="E123" i="3"/>
  <c r="E91" i="3"/>
  <c r="E128" i="3"/>
  <c r="E121" i="3"/>
  <c r="E134" i="3"/>
  <c r="E45" i="3"/>
  <c r="E54" i="3"/>
  <c r="E80" i="3"/>
  <c r="E129" i="3"/>
  <c r="E109" i="3"/>
  <c r="E52" i="3"/>
  <c r="E92" i="3"/>
  <c r="E102" i="3"/>
  <c r="E120" i="3"/>
  <c r="E94" i="3"/>
  <c r="E38" i="3"/>
  <c r="E131" i="3"/>
  <c r="J75" i="3"/>
  <c r="H75" i="3"/>
  <c r="Y75" i="3"/>
  <c r="R35" i="3" l="1"/>
  <c r="O47" i="9"/>
  <c r="P47" i="9"/>
  <c r="N48" i="9"/>
  <c r="Q46" i="9"/>
  <c r="R46" i="9" s="1"/>
  <c r="M52" i="9"/>
  <c r="H33" i="3"/>
  <c r="X8" i="3" s="1"/>
  <c r="J33" i="3"/>
  <c r="X10" i="3" s="1"/>
  <c r="Q47" i="9" l="1"/>
  <c r="R47" i="9" s="1"/>
  <c r="O48" i="9"/>
  <c r="N49" i="9"/>
  <c r="P48" i="9"/>
  <c r="M53" i="9"/>
  <c r="X11" i="3"/>
  <c r="K33" i="3"/>
  <c r="Q48" i="9" l="1"/>
  <c r="R48" i="9" s="1"/>
  <c r="N50" i="9"/>
  <c r="O49" i="9"/>
  <c r="P49" i="9"/>
  <c r="M54" i="9"/>
  <c r="M55" i="9" s="1"/>
  <c r="M56" i="9" s="1"/>
  <c r="M57" i="9" s="1"/>
  <c r="M58" i="9" s="1"/>
  <c r="M59" i="9" s="1"/>
  <c r="M60" i="9" s="1"/>
  <c r="M61" i="9" s="1"/>
  <c r="M62" i="9" s="1"/>
  <c r="M63" i="9" s="1"/>
  <c r="M64" i="9" s="1"/>
  <c r="M65" i="9" s="1"/>
  <c r="M66" i="9" s="1"/>
  <c r="M67" i="9" s="1"/>
  <c r="M68" i="9" s="1"/>
  <c r="M69" i="9" s="1"/>
  <c r="M70" i="9" s="1"/>
  <c r="M71" i="9" s="1"/>
  <c r="M72" i="9" s="1"/>
  <c r="M73" i="9" s="1"/>
  <c r="M74" i="9" s="1"/>
  <c r="M75" i="9" s="1"/>
  <c r="M76" i="9" s="1"/>
  <c r="M77" i="9" s="1"/>
  <c r="M78" i="9" s="1"/>
  <c r="M79" i="9" s="1"/>
  <c r="M80" i="9" s="1"/>
  <c r="M81" i="9" s="1"/>
  <c r="M82" i="9" s="1"/>
  <c r="M83" i="9" s="1"/>
  <c r="M84" i="9" s="1"/>
  <c r="M85" i="9" s="1"/>
  <c r="M86" i="9" s="1"/>
  <c r="M87" i="9" s="1"/>
  <c r="M88" i="9" s="1"/>
  <c r="M89" i="9" s="1"/>
  <c r="M90" i="9" s="1"/>
  <c r="M91" i="9" s="1"/>
  <c r="M92" i="9" s="1"/>
  <c r="M93" i="9" s="1"/>
  <c r="M94" i="9" s="1"/>
  <c r="M95" i="9" s="1"/>
  <c r="M96" i="9" s="1"/>
  <c r="M97" i="9" s="1"/>
  <c r="M98" i="9" s="1"/>
  <c r="M99" i="9" s="1"/>
  <c r="M100" i="9" s="1"/>
  <c r="M101" i="9" s="1"/>
  <c r="M102" i="9" s="1"/>
  <c r="M103" i="9" s="1"/>
  <c r="M104" i="9" s="1"/>
  <c r="M105" i="9" s="1"/>
  <c r="M106" i="9" s="1"/>
  <c r="M107" i="9" s="1"/>
  <c r="M108" i="9" s="1"/>
  <c r="M109" i="9" s="1"/>
  <c r="M110" i="9" s="1"/>
  <c r="M111" i="9" s="1"/>
  <c r="M112" i="9" s="1"/>
  <c r="M113" i="9" s="1"/>
  <c r="M114" i="9" s="1"/>
  <c r="M115" i="9" s="1"/>
  <c r="M116" i="9" s="1"/>
  <c r="M117" i="9" s="1"/>
  <c r="M118" i="9" s="1"/>
  <c r="M119" i="9" s="1"/>
  <c r="M120" i="9" s="1"/>
  <c r="M121" i="9" s="1"/>
  <c r="M122" i="9" s="1"/>
  <c r="M123" i="9" s="1"/>
  <c r="M124" i="9" s="1"/>
  <c r="M125" i="9" s="1"/>
  <c r="M126" i="9" s="1"/>
  <c r="M127" i="9" s="1"/>
  <c r="M128" i="9" s="1"/>
  <c r="M129" i="9" s="1"/>
  <c r="M130" i="9" s="1"/>
  <c r="M131" i="9" s="1"/>
  <c r="M132" i="9" s="1"/>
  <c r="M133" i="9" s="1"/>
  <c r="M134" i="9" s="1"/>
  <c r="M135" i="9" s="1"/>
  <c r="M136" i="9" s="1"/>
  <c r="M137" i="9" s="1"/>
  <c r="M138" i="9" s="1"/>
  <c r="M139" i="9" s="1"/>
  <c r="M140" i="9" s="1"/>
  <c r="M141" i="9" s="1"/>
  <c r="M142" i="9" s="1"/>
  <c r="M143" i="9" s="1"/>
  <c r="M144" i="9" s="1"/>
  <c r="M145" i="9" s="1"/>
  <c r="M146" i="9" s="1"/>
  <c r="M147" i="9" s="1"/>
  <c r="M148" i="9" s="1"/>
  <c r="M149" i="9" s="1"/>
  <c r="M150" i="9" s="1"/>
  <c r="M151" i="9" s="1"/>
  <c r="M152" i="9" s="1"/>
  <c r="M153" i="9" s="1"/>
  <c r="M154" i="9" s="1"/>
  <c r="M155" i="9" s="1"/>
  <c r="M156" i="9" s="1"/>
  <c r="M157" i="9" s="1"/>
  <c r="M158" i="9" s="1"/>
  <c r="M159" i="9" s="1"/>
  <c r="M160" i="9" s="1"/>
  <c r="M161" i="9" s="1"/>
  <c r="M162" i="9" s="1"/>
  <c r="M163" i="9" s="1"/>
  <c r="M164" i="9" s="1"/>
  <c r="M165" i="9" s="1"/>
  <c r="M166" i="9" s="1"/>
  <c r="M167" i="9" s="1"/>
  <c r="M168" i="9" s="1"/>
  <c r="M169" i="9" s="1"/>
  <c r="M170" i="9" s="1"/>
  <c r="M171" i="9" s="1"/>
  <c r="M172" i="9" s="1"/>
  <c r="M173" i="9" s="1"/>
  <c r="M174" i="9" s="1"/>
  <c r="M175" i="9" s="1"/>
  <c r="M176" i="9" s="1"/>
  <c r="M177" i="9" s="1"/>
  <c r="M178" i="9" s="1"/>
  <c r="M179" i="9" s="1"/>
  <c r="M180" i="9" s="1"/>
  <c r="M181" i="9" s="1"/>
  <c r="M182" i="9" s="1"/>
  <c r="M183" i="9" s="1"/>
  <c r="M184" i="9" s="1"/>
  <c r="M185" i="9" s="1"/>
  <c r="M186" i="9" s="1"/>
  <c r="M187" i="9" s="1"/>
  <c r="T18" i="3"/>
  <c r="M188" i="9" l="1"/>
  <c r="Q49" i="9"/>
  <c r="R49" i="9" s="1"/>
  <c r="N51" i="9"/>
  <c r="P50" i="9"/>
  <c r="O50" i="9"/>
  <c r="T17" i="3"/>
  <c r="W10" i="3"/>
  <c r="M36" i="3" s="1"/>
  <c r="N37" i="3" s="1"/>
  <c r="P37" i="3" s="1"/>
  <c r="X18" i="3"/>
  <c r="AP18" i="3" s="1"/>
  <c r="M189" i="9" l="1"/>
  <c r="M190" i="9" s="1"/>
  <c r="Q50" i="9"/>
  <c r="R50" i="9" s="1"/>
  <c r="O51" i="9"/>
  <c r="N52" i="9"/>
  <c r="P51" i="9"/>
  <c r="O37" i="3"/>
  <c r="M37" i="3"/>
  <c r="M38" i="3" s="1"/>
  <c r="M39" i="3" s="1"/>
  <c r="T138" i="3"/>
  <c r="S138" i="3" s="1"/>
  <c r="T89" i="3"/>
  <c r="S89" i="3" s="1"/>
  <c r="T52" i="3"/>
  <c r="S52" i="3" s="1"/>
  <c r="T80" i="3"/>
  <c r="S80" i="3" s="1"/>
  <c r="T72" i="3"/>
  <c r="S72" i="3" s="1"/>
  <c r="T130" i="3"/>
  <c r="S130" i="3" s="1"/>
  <c r="T74" i="3"/>
  <c r="S74" i="3" s="1"/>
  <c r="T44" i="3"/>
  <c r="S44" i="3" s="1"/>
  <c r="T135" i="3"/>
  <c r="T69" i="3"/>
  <c r="S69" i="3" s="1"/>
  <c r="T65" i="3"/>
  <c r="S65" i="3" s="1"/>
  <c r="T98" i="3"/>
  <c r="S98" i="3" s="1"/>
  <c r="T75" i="3"/>
  <c r="T40" i="3"/>
  <c r="S40" i="3" s="1"/>
  <c r="T73" i="3"/>
  <c r="S73" i="3" s="1"/>
  <c r="T67" i="3"/>
  <c r="T60" i="3"/>
  <c r="S60" i="3" s="1"/>
  <c r="T42" i="3"/>
  <c r="S42" i="3" s="1"/>
  <c r="T49" i="3"/>
  <c r="S49" i="3" s="1"/>
  <c r="T92" i="3"/>
  <c r="S92" i="3" s="1"/>
  <c r="T53" i="3"/>
  <c r="S53" i="3" s="1"/>
  <c r="T90" i="3"/>
  <c r="S90" i="3" s="1"/>
  <c r="T128" i="3"/>
  <c r="S128" i="3" s="1"/>
  <c r="T120" i="3"/>
  <c r="S120" i="3" s="1"/>
  <c r="T79" i="3"/>
  <c r="T85" i="3"/>
  <c r="S85" i="3" s="1"/>
  <c r="T82" i="3"/>
  <c r="S82" i="3" s="1"/>
  <c r="T132" i="3"/>
  <c r="S132" i="3" s="1"/>
  <c r="T139" i="3"/>
  <c r="T35" i="3"/>
  <c r="T105" i="3"/>
  <c r="S105" i="3" s="1"/>
  <c r="T104" i="3"/>
  <c r="S104" i="3" s="1"/>
  <c r="T96" i="3"/>
  <c r="S96" i="3" s="1"/>
  <c r="T64" i="3"/>
  <c r="S64" i="3" s="1"/>
  <c r="T119" i="3"/>
  <c r="T122" i="3"/>
  <c r="S122" i="3" s="1"/>
  <c r="T46" i="3"/>
  <c r="S46" i="3" s="1"/>
  <c r="T113" i="3"/>
  <c r="S113" i="3" s="1"/>
  <c r="T108" i="3"/>
  <c r="S108" i="3" s="1"/>
  <c r="T134" i="3"/>
  <c r="S134" i="3" s="1"/>
  <c r="T54" i="3"/>
  <c r="S54" i="3" s="1"/>
  <c r="T129" i="3"/>
  <c r="S129" i="3" s="1"/>
  <c r="T83" i="3"/>
  <c r="T111" i="3"/>
  <c r="T112" i="3"/>
  <c r="S112" i="3" s="1"/>
  <c r="T37" i="3"/>
  <c r="S37" i="3" s="1"/>
  <c r="T71" i="3"/>
  <c r="T51" i="3"/>
  <c r="T117" i="3"/>
  <c r="S117" i="3" s="1"/>
  <c r="T109" i="3"/>
  <c r="S109" i="3" s="1"/>
  <c r="T136" i="3"/>
  <c r="S136" i="3" s="1"/>
  <c r="T57" i="3"/>
  <c r="S57" i="3" s="1"/>
  <c r="T55" i="3"/>
  <c r="T56" i="3"/>
  <c r="S56" i="3" s="1"/>
  <c r="T125" i="3"/>
  <c r="S125" i="3" s="1"/>
  <c r="T137" i="3"/>
  <c r="S137" i="3" s="1"/>
  <c r="T81" i="3"/>
  <c r="S81" i="3" s="1"/>
  <c r="T115" i="3"/>
  <c r="T107" i="3"/>
  <c r="T99" i="3"/>
  <c r="T127" i="3"/>
  <c r="T61" i="3"/>
  <c r="S61" i="3" s="1"/>
  <c r="T142" i="3"/>
  <c r="S142" i="3" s="1"/>
  <c r="T87" i="3"/>
  <c r="T66" i="3"/>
  <c r="S66" i="3" s="1"/>
  <c r="T76" i="3"/>
  <c r="S76" i="3" s="1"/>
  <c r="T114" i="3"/>
  <c r="S114" i="3" s="1"/>
  <c r="T50" i="3"/>
  <c r="S50" i="3" s="1"/>
  <c r="T39" i="3"/>
  <c r="T88" i="3"/>
  <c r="S88" i="3" s="1"/>
  <c r="T58" i="3"/>
  <c r="S58" i="3" s="1"/>
  <c r="T102" i="3"/>
  <c r="S102" i="3" s="1"/>
  <c r="T131" i="3"/>
  <c r="T121" i="3"/>
  <c r="S121" i="3" s="1"/>
  <c r="T141" i="3"/>
  <c r="S141" i="3" s="1"/>
  <c r="T41" i="3"/>
  <c r="S41" i="3" s="1"/>
  <c r="T62" i="3"/>
  <c r="S62" i="3" s="1"/>
  <c r="T103" i="3"/>
  <c r="T38" i="3"/>
  <c r="S38" i="3" s="1"/>
  <c r="T110" i="3"/>
  <c r="S110" i="3" s="1"/>
  <c r="T84" i="3"/>
  <c r="S84" i="3" s="1"/>
  <c r="T126" i="3"/>
  <c r="S126" i="3" s="1"/>
  <c r="T43" i="3"/>
  <c r="T97" i="3"/>
  <c r="S97" i="3" s="1"/>
  <c r="T68" i="3"/>
  <c r="S68" i="3" s="1"/>
  <c r="T100" i="3"/>
  <c r="S100" i="3" s="1"/>
  <c r="T118" i="3"/>
  <c r="S118" i="3" s="1"/>
  <c r="T95" i="3"/>
  <c r="T123" i="3"/>
  <c r="T86" i="3"/>
  <c r="S86" i="3" s="1"/>
  <c r="T133" i="3"/>
  <c r="S133" i="3" s="1"/>
  <c r="T63" i="3"/>
  <c r="T78" i="3"/>
  <c r="S78" i="3" s="1"/>
  <c r="T70" i="3"/>
  <c r="S70" i="3" s="1"/>
  <c r="T77" i="3"/>
  <c r="S77" i="3" s="1"/>
  <c r="T101" i="3"/>
  <c r="S101" i="3" s="1"/>
  <c r="T140" i="3"/>
  <c r="S140" i="3" s="1"/>
  <c r="T91" i="3"/>
  <c r="T93" i="3"/>
  <c r="S93" i="3" s="1"/>
  <c r="T48" i="3"/>
  <c r="S48" i="3" s="1"/>
  <c r="T36" i="3"/>
  <c r="S36" i="3" s="1"/>
  <c r="T106" i="3"/>
  <c r="S106" i="3" s="1"/>
  <c r="T45" i="3"/>
  <c r="S45" i="3" s="1"/>
  <c r="T124" i="3"/>
  <c r="S124" i="3" s="1"/>
  <c r="T47" i="3"/>
  <c r="T116" i="3"/>
  <c r="S116" i="3" s="1"/>
  <c r="T59" i="3"/>
  <c r="T94" i="3"/>
  <c r="S94" i="3" s="1"/>
  <c r="T21" i="3"/>
  <c r="U25" i="3" s="1"/>
  <c r="X17" i="3"/>
  <c r="Q37" i="3"/>
  <c r="R37" i="3" s="1"/>
  <c r="M191" i="9" l="1"/>
  <c r="M192" i="9" s="1"/>
  <c r="M193" i="9" s="1"/>
  <c r="M194" i="9" s="1"/>
  <c r="M195" i="9" s="1"/>
  <c r="M38" i="9" s="1"/>
  <c r="Q51" i="9"/>
  <c r="R51" i="9" s="1"/>
  <c r="O52" i="9"/>
  <c r="N53" i="9"/>
  <c r="P52" i="9"/>
  <c r="M40" i="3"/>
  <c r="M41" i="3" s="1"/>
  <c r="N38" i="3"/>
  <c r="S95" i="3"/>
  <c r="V95" i="3"/>
  <c r="W95" i="3" s="1"/>
  <c r="S51" i="3"/>
  <c r="V51" i="3"/>
  <c r="W51" i="3" s="1"/>
  <c r="S111" i="3"/>
  <c r="V111" i="3"/>
  <c r="W111" i="3" s="1"/>
  <c r="S59" i="3"/>
  <c r="V59" i="3"/>
  <c r="W59" i="3" s="1"/>
  <c r="V43" i="3"/>
  <c r="W43" i="3" s="1"/>
  <c r="S43" i="3"/>
  <c r="S107" i="3"/>
  <c r="V107" i="3"/>
  <c r="W107" i="3" s="1"/>
  <c r="V91" i="3"/>
  <c r="W91" i="3" s="1"/>
  <c r="S91" i="3"/>
  <c r="S103" i="3"/>
  <c r="V103" i="3"/>
  <c r="W103" i="3" s="1"/>
  <c r="S115" i="3"/>
  <c r="V115" i="3"/>
  <c r="W115" i="3" s="1"/>
  <c r="S35" i="3"/>
  <c r="T33" i="3"/>
  <c r="V35" i="3"/>
  <c r="S63" i="3"/>
  <c r="V63" i="3"/>
  <c r="W63" i="3" s="1"/>
  <c r="S87" i="3"/>
  <c r="V87" i="3"/>
  <c r="W87" i="3" s="1"/>
  <c r="S99" i="3"/>
  <c r="V99" i="3"/>
  <c r="W99" i="3" s="1"/>
  <c r="V67" i="3"/>
  <c r="W67" i="3" s="1"/>
  <c r="S67" i="3"/>
  <c r="V71" i="3"/>
  <c r="W71" i="3" s="1"/>
  <c r="S71" i="3"/>
  <c r="V83" i="3"/>
  <c r="W83" i="3" s="1"/>
  <c r="S83" i="3"/>
  <c r="S119" i="3"/>
  <c r="V119" i="3"/>
  <c r="W119" i="3" s="1"/>
  <c r="S47" i="3"/>
  <c r="V47" i="3"/>
  <c r="W47" i="3" s="1"/>
  <c r="S123" i="3"/>
  <c r="V123" i="3"/>
  <c r="W123" i="3" s="1"/>
  <c r="S131" i="3"/>
  <c r="V131" i="3"/>
  <c r="W131" i="3" s="1"/>
  <c r="V39" i="3"/>
  <c r="W39" i="3" s="1"/>
  <c r="S39" i="3"/>
  <c r="V127" i="3"/>
  <c r="W127" i="3" s="1"/>
  <c r="S127" i="3"/>
  <c r="V55" i="3"/>
  <c r="W55" i="3" s="1"/>
  <c r="S55" i="3"/>
  <c r="S139" i="3"/>
  <c r="V139" i="3"/>
  <c r="W139" i="3" s="1"/>
  <c r="S79" i="3"/>
  <c r="V79" i="3"/>
  <c r="W79" i="3" s="1"/>
  <c r="V75" i="3"/>
  <c r="W75" i="3" s="1"/>
  <c r="S75" i="3"/>
  <c r="V135" i="3"/>
  <c r="W135" i="3" s="1"/>
  <c r="S135" i="3"/>
  <c r="Q52" i="9" l="1"/>
  <c r="R52" i="9" s="1"/>
  <c r="N54" i="9"/>
  <c r="P53" i="9"/>
  <c r="O53" i="9"/>
  <c r="M42" i="3"/>
  <c r="N39" i="3"/>
  <c r="O38" i="3"/>
  <c r="P38" i="3"/>
  <c r="Q38" i="3" s="1"/>
  <c r="R38" i="3" s="1"/>
  <c r="W35" i="3"/>
  <c r="W33" i="3" s="1"/>
  <c r="U19" i="3" s="1"/>
  <c r="V33" i="3"/>
  <c r="S33" i="3"/>
  <c r="Q53" i="9" l="1"/>
  <c r="R53" i="9" s="1"/>
  <c r="P54" i="9"/>
  <c r="N55" i="9"/>
  <c r="O54" i="9"/>
  <c r="M43" i="3"/>
  <c r="O39" i="3"/>
  <c r="P39" i="3"/>
  <c r="N40" i="3"/>
  <c r="N56" i="9" l="1"/>
  <c r="P55" i="9"/>
  <c r="O55" i="9"/>
  <c r="Q54" i="9"/>
  <c r="R54" i="9" s="1"/>
  <c r="M44" i="3"/>
  <c r="O40" i="3"/>
  <c r="N41" i="3"/>
  <c r="P40" i="3"/>
  <c r="Q39" i="3"/>
  <c r="R39" i="3" s="1"/>
  <c r="Q55" i="9" l="1"/>
  <c r="R55" i="9" s="1"/>
  <c r="P56" i="9"/>
  <c r="O56" i="9"/>
  <c r="N57" i="9"/>
  <c r="M45" i="3"/>
  <c r="M46" i="3" s="1"/>
  <c r="Q40" i="3"/>
  <c r="R40" i="3" s="1"/>
  <c r="P41" i="3"/>
  <c r="O41" i="3"/>
  <c r="N42" i="3"/>
  <c r="O57" i="9" l="1"/>
  <c r="N58" i="9"/>
  <c r="P57" i="9"/>
  <c r="Q56" i="9"/>
  <c r="R56" i="9" s="1"/>
  <c r="M47" i="3"/>
  <c r="N43" i="3"/>
  <c r="O42" i="3"/>
  <c r="P42" i="3"/>
  <c r="Q41" i="3"/>
  <c r="R41" i="3" s="1"/>
  <c r="Q57" i="9" l="1"/>
  <c r="R57" i="9" s="1"/>
  <c r="O58" i="9"/>
  <c r="P58" i="9"/>
  <c r="N59" i="9"/>
  <c r="Q42" i="3"/>
  <c r="R42" i="3" s="1"/>
  <c r="M48" i="3"/>
  <c r="O43" i="3"/>
  <c r="N44" i="3"/>
  <c r="P43" i="3"/>
  <c r="Q58" i="9" l="1"/>
  <c r="R58" i="9" s="1"/>
  <c r="N60" i="9"/>
  <c r="P59" i="9"/>
  <c r="O59" i="9"/>
  <c r="M49" i="3"/>
  <c r="M50" i="3" s="1"/>
  <c r="M51" i="3" s="1"/>
  <c r="Q43" i="3"/>
  <c r="R43" i="3" s="1"/>
  <c r="P44" i="3"/>
  <c r="O44" i="3"/>
  <c r="N45" i="3"/>
  <c r="Q59" i="9" l="1"/>
  <c r="R59" i="9" s="1"/>
  <c r="O60" i="9"/>
  <c r="N61" i="9"/>
  <c r="P60" i="9"/>
  <c r="M52" i="3"/>
  <c r="M53" i="3" s="1"/>
  <c r="M54" i="3" s="1"/>
  <c r="P45" i="3"/>
  <c r="O45" i="3"/>
  <c r="N46" i="3"/>
  <c r="Q44" i="3"/>
  <c r="R44" i="3" s="1"/>
  <c r="Q60" i="9" l="1"/>
  <c r="R60" i="9" s="1"/>
  <c r="N62" i="9"/>
  <c r="P61" i="9"/>
  <c r="O61" i="9"/>
  <c r="M55" i="3"/>
  <c r="M56" i="3" s="1"/>
  <c r="M57" i="3" s="1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M69" i="3" s="1"/>
  <c r="M70" i="3" s="1"/>
  <c r="M71" i="3" s="1"/>
  <c r="M72" i="3" s="1"/>
  <c r="M73" i="3" s="1"/>
  <c r="M74" i="3" s="1"/>
  <c r="M75" i="3" s="1"/>
  <c r="M76" i="3" s="1"/>
  <c r="M77" i="3" s="1"/>
  <c r="M78" i="3" s="1"/>
  <c r="M79" i="3" s="1"/>
  <c r="M80" i="3" s="1"/>
  <c r="M81" i="3" s="1"/>
  <c r="M82" i="3" s="1"/>
  <c r="M83" i="3" s="1"/>
  <c r="M84" i="3" s="1"/>
  <c r="M85" i="3" s="1"/>
  <c r="M86" i="3" s="1"/>
  <c r="M87" i="3" s="1"/>
  <c r="M88" i="3" s="1"/>
  <c r="M89" i="3" s="1"/>
  <c r="M90" i="3" s="1"/>
  <c r="M91" i="3" s="1"/>
  <c r="M92" i="3" s="1"/>
  <c r="M93" i="3" s="1"/>
  <c r="M94" i="3" s="1"/>
  <c r="M95" i="3" s="1"/>
  <c r="M96" i="3" s="1"/>
  <c r="M97" i="3" s="1"/>
  <c r="M98" i="3" s="1"/>
  <c r="M99" i="3" s="1"/>
  <c r="M100" i="3" s="1"/>
  <c r="M101" i="3" s="1"/>
  <c r="M102" i="3" s="1"/>
  <c r="M103" i="3" s="1"/>
  <c r="M104" i="3" s="1"/>
  <c r="M105" i="3" s="1"/>
  <c r="M106" i="3" s="1"/>
  <c r="M107" i="3" s="1"/>
  <c r="M108" i="3" s="1"/>
  <c r="M109" i="3" s="1"/>
  <c r="M110" i="3" s="1"/>
  <c r="M111" i="3" s="1"/>
  <c r="M112" i="3" s="1"/>
  <c r="M113" i="3" s="1"/>
  <c r="M114" i="3" s="1"/>
  <c r="M115" i="3" s="1"/>
  <c r="M116" i="3" s="1"/>
  <c r="M117" i="3" s="1"/>
  <c r="M118" i="3" s="1"/>
  <c r="M119" i="3" s="1"/>
  <c r="M120" i="3" s="1"/>
  <c r="M121" i="3" s="1"/>
  <c r="M122" i="3" s="1"/>
  <c r="M123" i="3" s="1"/>
  <c r="M124" i="3" s="1"/>
  <c r="M125" i="3" s="1"/>
  <c r="M126" i="3" s="1"/>
  <c r="M127" i="3" s="1"/>
  <c r="M128" i="3" s="1"/>
  <c r="M129" i="3" s="1"/>
  <c r="M130" i="3" s="1"/>
  <c r="M131" i="3" s="1"/>
  <c r="M132" i="3" s="1"/>
  <c r="M133" i="3" s="1"/>
  <c r="M134" i="3" s="1"/>
  <c r="M135" i="3" s="1"/>
  <c r="M136" i="3" s="1"/>
  <c r="M137" i="3" s="1"/>
  <c r="M138" i="3" s="1"/>
  <c r="M139" i="3" s="1"/>
  <c r="M140" i="3" s="1"/>
  <c r="M141" i="3" s="1"/>
  <c r="M142" i="3" s="1"/>
  <c r="M33" i="3" s="1"/>
  <c r="N47" i="3"/>
  <c r="O46" i="3"/>
  <c r="P46" i="3"/>
  <c r="Q45" i="3"/>
  <c r="R45" i="3" s="1"/>
  <c r="Q61" i="9" l="1"/>
  <c r="R61" i="9" s="1"/>
  <c r="O62" i="9"/>
  <c r="N63" i="9"/>
  <c r="P62" i="9"/>
  <c r="P47" i="3"/>
  <c r="N48" i="3"/>
  <c r="O47" i="3"/>
  <c r="Q46" i="3"/>
  <c r="R46" i="3" s="1"/>
  <c r="Q62" i="9" l="1"/>
  <c r="R62" i="9" s="1"/>
  <c r="N64" i="9"/>
  <c r="O63" i="9"/>
  <c r="P63" i="9"/>
  <c r="Q47" i="3"/>
  <c r="R47" i="3" s="1"/>
  <c r="P48" i="3"/>
  <c r="O48" i="3"/>
  <c r="N49" i="3"/>
  <c r="Q63" i="9" l="1"/>
  <c r="R63" i="9" s="1"/>
  <c r="O64" i="9"/>
  <c r="P64" i="9"/>
  <c r="N65" i="9"/>
  <c r="Q48" i="3"/>
  <c r="R48" i="3" s="1"/>
  <c r="O49" i="3"/>
  <c r="N50" i="3"/>
  <c r="P49" i="3"/>
  <c r="N66" i="9" l="1"/>
  <c r="P65" i="9"/>
  <c r="O65" i="9"/>
  <c r="Q64" i="9"/>
  <c r="R64" i="9" s="1"/>
  <c r="Q49" i="3"/>
  <c r="R49" i="3" s="1"/>
  <c r="O50" i="3"/>
  <c r="N51" i="3"/>
  <c r="P50" i="3"/>
  <c r="P66" i="9" l="1"/>
  <c r="N67" i="9"/>
  <c r="O66" i="9"/>
  <c r="Q65" i="9"/>
  <c r="R65" i="9" s="1"/>
  <c r="O51" i="3"/>
  <c r="N52" i="3"/>
  <c r="P51" i="3"/>
  <c r="Q50" i="3"/>
  <c r="R50" i="3" s="1"/>
  <c r="N68" i="9" l="1"/>
  <c r="O67" i="9"/>
  <c r="P67" i="9"/>
  <c r="Q66" i="9"/>
  <c r="R66" i="9" s="1"/>
  <c r="Q51" i="3"/>
  <c r="R51" i="3" s="1"/>
  <c r="O52" i="3"/>
  <c r="N53" i="3"/>
  <c r="P52" i="3"/>
  <c r="Q67" i="9" l="1"/>
  <c r="R67" i="9" s="1"/>
  <c r="N69" i="9"/>
  <c r="O68" i="9"/>
  <c r="P68" i="9"/>
  <c r="P53" i="3"/>
  <c r="N54" i="3"/>
  <c r="O53" i="3"/>
  <c r="Q52" i="3"/>
  <c r="R52" i="3" s="1"/>
  <c r="Q68" i="9" l="1"/>
  <c r="R68" i="9" s="1"/>
  <c r="O69" i="9"/>
  <c r="P69" i="9"/>
  <c r="N70" i="9"/>
  <c r="Q53" i="3"/>
  <c r="R53" i="3" s="1"/>
  <c r="O54" i="3"/>
  <c r="P54" i="3"/>
  <c r="N55" i="3"/>
  <c r="Q69" i="9" l="1"/>
  <c r="R69" i="9" s="1"/>
  <c r="O70" i="9"/>
  <c r="P70" i="9"/>
  <c r="N71" i="9"/>
  <c r="Q54" i="3"/>
  <c r="R54" i="3" s="1"/>
  <c r="P55" i="3"/>
  <c r="O55" i="3"/>
  <c r="N56" i="3"/>
  <c r="Q70" i="9" l="1"/>
  <c r="R70" i="9" s="1"/>
  <c r="O71" i="9"/>
  <c r="P71" i="9"/>
  <c r="N72" i="9"/>
  <c r="N57" i="3"/>
  <c r="P56" i="3"/>
  <c r="O56" i="3"/>
  <c r="Q55" i="3"/>
  <c r="R55" i="3" s="1"/>
  <c r="Q71" i="9" l="1"/>
  <c r="R71" i="9" s="1"/>
  <c r="P72" i="9"/>
  <c r="O72" i="9"/>
  <c r="N73" i="9"/>
  <c r="Q56" i="3"/>
  <c r="R56" i="3" s="1"/>
  <c r="N58" i="3"/>
  <c r="P57" i="3"/>
  <c r="O57" i="3"/>
  <c r="Q72" i="9" l="1"/>
  <c r="R72" i="9" s="1"/>
  <c r="O73" i="9"/>
  <c r="N74" i="9"/>
  <c r="P73" i="9"/>
  <c r="Q57" i="3"/>
  <c r="R57" i="3" s="1"/>
  <c r="P58" i="3"/>
  <c r="N59" i="3"/>
  <c r="O58" i="3"/>
  <c r="Q73" i="9" l="1"/>
  <c r="R73" i="9" s="1"/>
  <c r="P74" i="9"/>
  <c r="O74" i="9"/>
  <c r="N75" i="9"/>
  <c r="O59" i="3"/>
  <c r="P59" i="3"/>
  <c r="N60" i="3"/>
  <c r="Q58" i="3"/>
  <c r="R58" i="3" s="1"/>
  <c r="O75" i="9" l="1"/>
  <c r="N76" i="9"/>
  <c r="P75" i="9"/>
  <c r="Q74" i="9"/>
  <c r="R74" i="9" s="1"/>
  <c r="O60" i="3"/>
  <c r="N61" i="3"/>
  <c r="P60" i="3"/>
  <c r="Q59" i="3"/>
  <c r="R59" i="3" s="1"/>
  <c r="Q75" i="9" l="1"/>
  <c r="R75" i="9" s="1"/>
  <c r="N77" i="9"/>
  <c r="O76" i="9"/>
  <c r="P76" i="9"/>
  <c r="Q60" i="3"/>
  <c r="R60" i="3" s="1"/>
  <c r="N62" i="3"/>
  <c r="P61" i="3"/>
  <c r="O61" i="3"/>
  <c r="Q76" i="9" l="1"/>
  <c r="R76" i="9" s="1"/>
  <c r="N78" i="9"/>
  <c r="P77" i="9"/>
  <c r="O77" i="9"/>
  <c r="Q61" i="3"/>
  <c r="R61" i="3" s="1"/>
  <c r="O62" i="3"/>
  <c r="N63" i="3"/>
  <c r="P62" i="3"/>
  <c r="Q62" i="3" s="1"/>
  <c r="R62" i="3" s="1"/>
  <c r="Q77" i="9" l="1"/>
  <c r="R77" i="9" s="1"/>
  <c r="O78" i="9"/>
  <c r="P78" i="9"/>
  <c r="N79" i="9"/>
  <c r="N64" i="3"/>
  <c r="P63" i="3"/>
  <c r="O63" i="3"/>
  <c r="Q78" i="9" l="1"/>
  <c r="R78" i="9" s="1"/>
  <c r="O79" i="9"/>
  <c r="N80" i="9"/>
  <c r="P79" i="9"/>
  <c r="Q63" i="3"/>
  <c r="R63" i="3" s="1"/>
  <c r="N65" i="3"/>
  <c r="P64" i="3"/>
  <c r="O64" i="3"/>
  <c r="Q79" i="9" l="1"/>
  <c r="R79" i="9" s="1"/>
  <c r="P80" i="9"/>
  <c r="N81" i="9"/>
  <c r="O80" i="9"/>
  <c r="Q64" i="3"/>
  <c r="R64" i="3" s="1"/>
  <c r="O65" i="3"/>
  <c r="P65" i="3"/>
  <c r="N66" i="3"/>
  <c r="N82" i="9" l="1"/>
  <c r="P81" i="9"/>
  <c r="O81" i="9"/>
  <c r="Q80" i="9"/>
  <c r="R80" i="9" s="1"/>
  <c r="Q65" i="3"/>
  <c r="R65" i="3" s="1"/>
  <c r="P66" i="3"/>
  <c r="O66" i="3"/>
  <c r="N67" i="3"/>
  <c r="Q81" i="9" l="1"/>
  <c r="R81" i="9" s="1"/>
  <c r="N83" i="9"/>
  <c r="O82" i="9"/>
  <c r="P82" i="9"/>
  <c r="N68" i="3"/>
  <c r="O67" i="3"/>
  <c r="P67" i="3"/>
  <c r="Q66" i="3"/>
  <c r="R66" i="3" s="1"/>
  <c r="Q82" i="9" l="1"/>
  <c r="R82" i="9" s="1"/>
  <c r="P83" i="9"/>
  <c r="N84" i="9"/>
  <c r="O83" i="9"/>
  <c r="Q67" i="3"/>
  <c r="R67" i="3" s="1"/>
  <c r="N69" i="3"/>
  <c r="O68" i="3"/>
  <c r="P68" i="3"/>
  <c r="P84" i="9" l="1"/>
  <c r="O84" i="9"/>
  <c r="N85" i="9"/>
  <c r="Q83" i="9"/>
  <c r="R83" i="9" s="1"/>
  <c r="Q68" i="3"/>
  <c r="R68" i="3" s="1"/>
  <c r="P69" i="3"/>
  <c r="O69" i="3"/>
  <c r="N70" i="3"/>
  <c r="N86" i="9" l="1"/>
  <c r="O85" i="9"/>
  <c r="P85" i="9"/>
  <c r="Q84" i="9"/>
  <c r="R84" i="9" s="1"/>
  <c r="P70" i="3"/>
  <c r="O70" i="3"/>
  <c r="N71" i="3"/>
  <c r="Q69" i="3"/>
  <c r="R69" i="3" s="1"/>
  <c r="Q85" i="9" l="1"/>
  <c r="R85" i="9" s="1"/>
  <c r="P86" i="9"/>
  <c r="N87" i="9"/>
  <c r="O86" i="9"/>
  <c r="P71" i="3"/>
  <c r="O71" i="3"/>
  <c r="N72" i="3"/>
  <c r="Q70" i="3"/>
  <c r="R70" i="3" s="1"/>
  <c r="Q86" i="9" l="1"/>
  <c r="R86" i="9" s="1"/>
  <c r="N88" i="9"/>
  <c r="P87" i="9"/>
  <c r="O87" i="9"/>
  <c r="O72" i="3"/>
  <c r="N73" i="3"/>
  <c r="P72" i="3"/>
  <c r="Q71" i="3"/>
  <c r="R71" i="3" s="1"/>
  <c r="Q87" i="9" l="1"/>
  <c r="R87" i="9" s="1"/>
  <c r="O88" i="9"/>
  <c r="N89" i="9"/>
  <c r="P88" i="9"/>
  <c r="Q72" i="3"/>
  <c r="R72" i="3" s="1"/>
  <c r="P73" i="3"/>
  <c r="N74" i="3"/>
  <c r="O73" i="3"/>
  <c r="Q88" i="9" l="1"/>
  <c r="R88" i="9" s="1"/>
  <c r="O89" i="9"/>
  <c r="P89" i="9"/>
  <c r="N90" i="9"/>
  <c r="N75" i="3"/>
  <c r="P74" i="3"/>
  <c r="O74" i="3"/>
  <c r="Q73" i="3"/>
  <c r="R73" i="3" s="1"/>
  <c r="Q89" i="9" l="1"/>
  <c r="R89" i="9" s="1"/>
  <c r="O90" i="9"/>
  <c r="N91" i="9"/>
  <c r="P90" i="9"/>
  <c r="Q74" i="3"/>
  <c r="R74" i="3" s="1"/>
  <c r="N76" i="3"/>
  <c r="O75" i="3"/>
  <c r="P75" i="3"/>
  <c r="Q90" i="9" l="1"/>
  <c r="R90" i="9" s="1"/>
  <c r="N92" i="9"/>
  <c r="O91" i="9"/>
  <c r="P91" i="9"/>
  <c r="Q75" i="3"/>
  <c r="R75" i="3" s="1"/>
  <c r="O76" i="3"/>
  <c r="P76" i="3"/>
  <c r="N77" i="3"/>
  <c r="Q91" i="9" l="1"/>
  <c r="R91" i="9" s="1"/>
  <c r="O92" i="9"/>
  <c r="P92" i="9"/>
  <c r="N93" i="9"/>
  <c r="Q76" i="3"/>
  <c r="R76" i="3" s="1"/>
  <c r="P77" i="3"/>
  <c r="N78" i="3"/>
  <c r="O77" i="3"/>
  <c r="N94" i="9" l="1"/>
  <c r="O93" i="9"/>
  <c r="P93" i="9"/>
  <c r="Q92" i="9"/>
  <c r="R92" i="9" s="1"/>
  <c r="N79" i="3"/>
  <c r="O78" i="3"/>
  <c r="P78" i="3"/>
  <c r="Q77" i="3"/>
  <c r="R77" i="3" s="1"/>
  <c r="Q93" i="9" l="1"/>
  <c r="R93" i="9" s="1"/>
  <c r="O94" i="9"/>
  <c r="P94" i="9"/>
  <c r="N95" i="9"/>
  <c r="Q78" i="3"/>
  <c r="R78" i="3" s="1"/>
  <c r="P79" i="3"/>
  <c r="N80" i="3"/>
  <c r="O79" i="3"/>
  <c r="O95" i="9" l="1"/>
  <c r="N96" i="9"/>
  <c r="P95" i="9"/>
  <c r="Q94" i="9"/>
  <c r="R94" i="9" s="1"/>
  <c r="P80" i="3"/>
  <c r="N81" i="3"/>
  <c r="O80" i="3"/>
  <c r="Q79" i="3"/>
  <c r="R79" i="3" s="1"/>
  <c r="Q95" i="9" l="1"/>
  <c r="R95" i="9" s="1"/>
  <c r="P96" i="9"/>
  <c r="O96" i="9"/>
  <c r="N97" i="9"/>
  <c r="O81" i="3"/>
  <c r="N82" i="3"/>
  <c r="P81" i="3"/>
  <c r="Q80" i="3"/>
  <c r="R80" i="3" s="1"/>
  <c r="N98" i="9" l="1"/>
  <c r="P97" i="9"/>
  <c r="O97" i="9"/>
  <c r="Q96" i="9"/>
  <c r="R96" i="9" s="1"/>
  <c r="Q81" i="3"/>
  <c r="R81" i="3" s="1"/>
  <c r="O82" i="3"/>
  <c r="N83" i="3"/>
  <c r="P82" i="3"/>
  <c r="Q82" i="3" s="1"/>
  <c r="R82" i="3" s="1"/>
  <c r="Q97" i="9" l="1"/>
  <c r="O98" i="9"/>
  <c r="N99" i="9"/>
  <c r="P98" i="9"/>
  <c r="O83" i="3"/>
  <c r="P83" i="3"/>
  <c r="N84" i="3"/>
  <c r="Q98" i="9" l="1"/>
  <c r="R98" i="9" s="1"/>
  <c r="R97" i="9"/>
  <c r="N100" i="9"/>
  <c r="O99" i="9"/>
  <c r="P99" i="9"/>
  <c r="Q83" i="3"/>
  <c r="R83" i="3" s="1"/>
  <c r="O84" i="3"/>
  <c r="N85" i="3"/>
  <c r="P84" i="3"/>
  <c r="Q99" i="9" l="1"/>
  <c r="P100" i="9"/>
  <c r="O100" i="9"/>
  <c r="N101" i="9"/>
  <c r="Q84" i="3"/>
  <c r="R84" i="3" s="1"/>
  <c r="P85" i="3"/>
  <c r="O85" i="3"/>
  <c r="N86" i="3"/>
  <c r="R99" i="9" l="1"/>
  <c r="O101" i="9"/>
  <c r="P101" i="9"/>
  <c r="N102" i="9"/>
  <c r="Q100" i="9"/>
  <c r="R100" i="9" s="1"/>
  <c r="O86" i="3"/>
  <c r="P86" i="3"/>
  <c r="N87" i="3"/>
  <c r="Q85" i="3"/>
  <c r="R85" i="3" s="1"/>
  <c r="Q101" i="9" l="1"/>
  <c r="O102" i="9"/>
  <c r="P102" i="9"/>
  <c r="N103" i="9"/>
  <c r="Q86" i="3"/>
  <c r="R86" i="3" s="1"/>
  <c r="P87" i="3"/>
  <c r="O87" i="3"/>
  <c r="N88" i="3"/>
  <c r="R101" i="9" l="1"/>
  <c r="Q102" i="9"/>
  <c r="R102" i="9" s="1"/>
  <c r="N104" i="9"/>
  <c r="P103" i="9"/>
  <c r="O103" i="9"/>
  <c r="N89" i="3"/>
  <c r="O88" i="3"/>
  <c r="P88" i="3"/>
  <c r="Q87" i="3"/>
  <c r="R87" i="3" s="1"/>
  <c r="Q103" i="9" l="1"/>
  <c r="P104" i="9"/>
  <c r="N105" i="9"/>
  <c r="O104" i="9"/>
  <c r="Q88" i="3"/>
  <c r="R88" i="3" s="1"/>
  <c r="O89" i="3"/>
  <c r="N90" i="3"/>
  <c r="P89" i="3"/>
  <c r="R103" i="9" l="1"/>
  <c r="P105" i="9"/>
  <c r="O105" i="9"/>
  <c r="N106" i="9"/>
  <c r="Q104" i="9"/>
  <c r="R104" i="9" s="1"/>
  <c r="Q89" i="3"/>
  <c r="R89" i="3" s="1"/>
  <c r="O90" i="3"/>
  <c r="P90" i="3"/>
  <c r="N91" i="3"/>
  <c r="Q105" i="9" l="1"/>
  <c r="O106" i="9"/>
  <c r="N107" i="9"/>
  <c r="P106" i="9"/>
  <c r="Q90" i="3"/>
  <c r="R90" i="3" s="1"/>
  <c r="P91" i="3"/>
  <c r="O91" i="3"/>
  <c r="N92" i="3"/>
  <c r="R105" i="9" l="1"/>
  <c r="Q106" i="9"/>
  <c r="R106" i="9" s="1"/>
  <c r="O107" i="9"/>
  <c r="P107" i="9"/>
  <c r="N108" i="9"/>
  <c r="P92" i="3"/>
  <c r="O92" i="3"/>
  <c r="N93" i="3"/>
  <c r="Q91" i="3"/>
  <c r="R91" i="3" s="1"/>
  <c r="Q107" i="9" l="1"/>
  <c r="R107" i="9" s="1"/>
  <c r="O108" i="9"/>
  <c r="P108" i="9"/>
  <c r="N109" i="9"/>
  <c r="O93" i="3"/>
  <c r="N94" i="3"/>
  <c r="P93" i="3"/>
  <c r="Q92" i="3"/>
  <c r="R92" i="3" s="1"/>
  <c r="Q108" i="9" l="1"/>
  <c r="R108" i="9" s="1"/>
  <c r="N110" i="9"/>
  <c r="P109" i="9"/>
  <c r="O109" i="9"/>
  <c r="Q93" i="3"/>
  <c r="R93" i="3" s="1"/>
  <c r="P94" i="3"/>
  <c r="N95" i="3"/>
  <c r="O94" i="3"/>
  <c r="Q109" i="9" l="1"/>
  <c r="R109" i="9" s="1"/>
  <c r="O110" i="9"/>
  <c r="P110" i="9"/>
  <c r="N111" i="9"/>
  <c r="P95" i="3"/>
  <c r="O95" i="3"/>
  <c r="N96" i="3"/>
  <c r="Q94" i="3"/>
  <c r="R94" i="3" s="1"/>
  <c r="Q110" i="9" l="1"/>
  <c r="R110" i="9" s="1"/>
  <c r="N112" i="9"/>
  <c r="O111" i="9"/>
  <c r="P111" i="9"/>
  <c r="P96" i="3"/>
  <c r="N97" i="3"/>
  <c r="O96" i="3"/>
  <c r="Q95" i="3"/>
  <c r="R95" i="3" s="1"/>
  <c r="Q111" i="9" l="1"/>
  <c r="R111" i="9" s="1"/>
  <c r="P112" i="9"/>
  <c r="N113" i="9"/>
  <c r="O112" i="9"/>
  <c r="N98" i="3"/>
  <c r="O97" i="3"/>
  <c r="P97" i="3"/>
  <c r="Q97" i="3" s="1"/>
  <c r="R97" i="3" s="1"/>
  <c r="Q96" i="3"/>
  <c r="R96" i="3" s="1"/>
  <c r="P113" i="9" l="1"/>
  <c r="N114" i="9"/>
  <c r="O113" i="9"/>
  <c r="Q112" i="9"/>
  <c r="R112" i="9" s="1"/>
  <c r="N99" i="3"/>
  <c r="P98" i="3"/>
  <c r="O98" i="3"/>
  <c r="O114" i="9" l="1"/>
  <c r="P114" i="9"/>
  <c r="N115" i="9"/>
  <c r="Q113" i="9"/>
  <c r="R113" i="9" s="1"/>
  <c r="Q98" i="3"/>
  <c r="R98" i="3" s="1"/>
  <c r="N100" i="3"/>
  <c r="O99" i="3"/>
  <c r="P99" i="3"/>
  <c r="Q114" i="9" l="1"/>
  <c r="R114" i="9" s="1"/>
  <c r="N116" i="9"/>
  <c r="O115" i="9"/>
  <c r="P115" i="9"/>
  <c r="Q99" i="3"/>
  <c r="R99" i="3" s="1"/>
  <c r="P100" i="3"/>
  <c r="O100" i="3"/>
  <c r="N101" i="3"/>
  <c r="Q115" i="9" l="1"/>
  <c r="R115" i="9" s="1"/>
  <c r="O116" i="9"/>
  <c r="N117" i="9"/>
  <c r="P116" i="9"/>
  <c r="P101" i="3"/>
  <c r="O101" i="3"/>
  <c r="N102" i="3"/>
  <c r="Q100" i="3"/>
  <c r="R100" i="3" s="1"/>
  <c r="Q116" i="9" l="1"/>
  <c r="R116" i="9" s="1"/>
  <c r="O117" i="9"/>
  <c r="P117" i="9"/>
  <c r="N118" i="9"/>
  <c r="Q101" i="3"/>
  <c r="R101" i="3" s="1"/>
  <c r="N103" i="3"/>
  <c r="P102" i="3"/>
  <c r="O102" i="3"/>
  <c r="Q117" i="9" l="1"/>
  <c r="R117" i="9" s="1"/>
  <c r="O118" i="9"/>
  <c r="P118" i="9"/>
  <c r="N119" i="9"/>
  <c r="Q102" i="3"/>
  <c r="R102" i="3" s="1"/>
  <c r="N104" i="3"/>
  <c r="O103" i="3"/>
  <c r="P103" i="3"/>
  <c r="Q118" i="9" l="1"/>
  <c r="R118" i="9" s="1"/>
  <c r="P119" i="9"/>
  <c r="O119" i="9"/>
  <c r="N120" i="9"/>
  <c r="Q103" i="3"/>
  <c r="R103" i="3" s="1"/>
  <c r="O104" i="3"/>
  <c r="N105" i="3"/>
  <c r="P104" i="3"/>
  <c r="O120" i="9" l="1"/>
  <c r="N121" i="9"/>
  <c r="P120" i="9"/>
  <c r="Q119" i="9"/>
  <c r="R119" i="9" s="1"/>
  <c r="Q104" i="3"/>
  <c r="R104" i="3" s="1"/>
  <c r="O105" i="3"/>
  <c r="N106" i="3"/>
  <c r="P105" i="3"/>
  <c r="Q105" i="3" s="1"/>
  <c r="R105" i="3" s="1"/>
  <c r="Q120" i="9" l="1"/>
  <c r="R120" i="9" s="1"/>
  <c r="O121" i="9"/>
  <c r="P121" i="9"/>
  <c r="N122" i="9"/>
  <c r="N107" i="3"/>
  <c r="P106" i="3"/>
  <c r="O106" i="3"/>
  <c r="Q121" i="9" l="1"/>
  <c r="R121" i="9" s="1"/>
  <c r="O122" i="9"/>
  <c r="P122" i="9"/>
  <c r="N123" i="9"/>
  <c r="Q106" i="3"/>
  <c r="R106" i="3" s="1"/>
  <c r="N108" i="3"/>
  <c r="P107" i="3"/>
  <c r="O107" i="3"/>
  <c r="Q122" i="9" l="1"/>
  <c r="R122" i="9" s="1"/>
  <c r="P123" i="9"/>
  <c r="N124" i="9"/>
  <c r="O123" i="9"/>
  <c r="Q107" i="3"/>
  <c r="R107" i="3" s="1"/>
  <c r="P108" i="3"/>
  <c r="N109" i="3"/>
  <c r="O108" i="3"/>
  <c r="N125" i="9" l="1"/>
  <c r="O124" i="9"/>
  <c r="P124" i="9"/>
  <c r="Q123" i="9"/>
  <c r="R123" i="9" s="1"/>
  <c r="N110" i="3"/>
  <c r="O109" i="3"/>
  <c r="P109" i="3"/>
  <c r="Q108" i="3"/>
  <c r="R108" i="3" s="1"/>
  <c r="Q124" i="9" l="1"/>
  <c r="R124" i="9" s="1"/>
  <c r="N126" i="9"/>
  <c r="P125" i="9"/>
  <c r="O125" i="9"/>
  <c r="Q109" i="3"/>
  <c r="R109" i="3" s="1"/>
  <c r="O110" i="3"/>
  <c r="P110" i="3"/>
  <c r="N111" i="3"/>
  <c r="Q125" i="9" l="1"/>
  <c r="R125" i="9" s="1"/>
  <c r="O126" i="9"/>
  <c r="P126" i="9"/>
  <c r="N127" i="9"/>
  <c r="Q110" i="3"/>
  <c r="R110" i="3" s="1"/>
  <c r="O111" i="3"/>
  <c r="P111" i="3"/>
  <c r="N112" i="3"/>
  <c r="Q126" i="9" l="1"/>
  <c r="R126" i="9" s="1"/>
  <c r="P127" i="9"/>
  <c r="N128" i="9"/>
  <c r="O127" i="9"/>
  <c r="Q111" i="3"/>
  <c r="R111" i="3" s="1"/>
  <c r="N113" i="3"/>
  <c r="O112" i="3"/>
  <c r="P112" i="3"/>
  <c r="O128" i="9" l="1"/>
  <c r="P128" i="9"/>
  <c r="N129" i="9"/>
  <c r="Q127" i="9"/>
  <c r="R127" i="9" s="1"/>
  <c r="Q112" i="3"/>
  <c r="R112" i="3" s="1"/>
  <c r="O113" i="3"/>
  <c r="P113" i="3"/>
  <c r="N114" i="3"/>
  <c r="Q128" i="9" l="1"/>
  <c r="R128" i="9" s="1"/>
  <c r="O129" i="9"/>
  <c r="P129" i="9"/>
  <c r="N130" i="9"/>
  <c r="Q113" i="3"/>
  <c r="R113" i="3" s="1"/>
  <c r="O114" i="3"/>
  <c r="N115" i="3"/>
  <c r="P114" i="3"/>
  <c r="Q129" i="9" l="1"/>
  <c r="R129" i="9" s="1"/>
  <c r="N131" i="9"/>
  <c r="P130" i="9"/>
  <c r="O130" i="9"/>
  <c r="Q114" i="3"/>
  <c r="R114" i="3" s="1"/>
  <c r="O115" i="3"/>
  <c r="P115" i="3"/>
  <c r="N116" i="3"/>
  <c r="Q130" i="9" l="1"/>
  <c r="R130" i="9" s="1"/>
  <c r="P131" i="9"/>
  <c r="O131" i="9"/>
  <c r="N132" i="9"/>
  <c r="Q115" i="3"/>
  <c r="R115" i="3" s="1"/>
  <c r="O116" i="3"/>
  <c r="P116" i="3"/>
  <c r="N117" i="3"/>
  <c r="P132" i="9" l="1"/>
  <c r="O132" i="9"/>
  <c r="N133" i="9"/>
  <c r="Q131" i="9"/>
  <c r="R131" i="9" s="1"/>
  <c r="Q116" i="3"/>
  <c r="R116" i="3" s="1"/>
  <c r="O117" i="3"/>
  <c r="N118" i="3"/>
  <c r="P117" i="3"/>
  <c r="O133" i="9" l="1"/>
  <c r="N134" i="9"/>
  <c r="P133" i="9"/>
  <c r="Q132" i="9"/>
  <c r="R132" i="9" s="1"/>
  <c r="Q117" i="3"/>
  <c r="R117" i="3" s="1"/>
  <c r="O118" i="3"/>
  <c r="N119" i="3"/>
  <c r="P118" i="3"/>
  <c r="Q133" i="9" l="1"/>
  <c r="R133" i="9" s="1"/>
  <c r="P134" i="9"/>
  <c r="N135" i="9"/>
  <c r="O134" i="9"/>
  <c r="Q118" i="3"/>
  <c r="R118" i="3" s="1"/>
  <c r="O119" i="3"/>
  <c r="P119" i="3"/>
  <c r="N120" i="3"/>
  <c r="O135" i="9" l="1"/>
  <c r="P135" i="9"/>
  <c r="N136" i="9"/>
  <c r="Q134" i="9"/>
  <c r="R134" i="9" s="1"/>
  <c r="Q119" i="3"/>
  <c r="R119" i="3" s="1"/>
  <c r="O120" i="3"/>
  <c r="P120" i="3"/>
  <c r="N121" i="3"/>
  <c r="Q135" i="9" l="1"/>
  <c r="R135" i="9" s="1"/>
  <c r="P136" i="9"/>
  <c r="N137" i="9"/>
  <c r="O136" i="9"/>
  <c r="Q120" i="3"/>
  <c r="R120" i="3" s="1"/>
  <c r="P121" i="3"/>
  <c r="O121" i="3"/>
  <c r="N122" i="3"/>
  <c r="O137" i="9" l="1"/>
  <c r="P137" i="9"/>
  <c r="N138" i="9"/>
  <c r="Q136" i="9"/>
  <c r="R136" i="9" s="1"/>
  <c r="O122" i="3"/>
  <c r="P122" i="3"/>
  <c r="N123" i="3"/>
  <c r="Q121" i="3"/>
  <c r="R121" i="3" s="1"/>
  <c r="Q137" i="9" l="1"/>
  <c r="R137" i="9" s="1"/>
  <c r="P138" i="9"/>
  <c r="O138" i="9"/>
  <c r="N139" i="9"/>
  <c r="Q122" i="3"/>
  <c r="R122" i="3" s="1"/>
  <c r="P123" i="3"/>
  <c r="N124" i="3"/>
  <c r="O123" i="3"/>
  <c r="O139" i="9" l="1"/>
  <c r="N140" i="9"/>
  <c r="P139" i="9"/>
  <c r="Q138" i="9"/>
  <c r="R138" i="9" s="1"/>
  <c r="O124" i="3"/>
  <c r="P124" i="3"/>
  <c r="N125" i="3"/>
  <c r="Q123" i="3"/>
  <c r="R123" i="3" s="1"/>
  <c r="Q139" i="9" l="1"/>
  <c r="R139" i="9" s="1"/>
  <c r="O140" i="9"/>
  <c r="N141" i="9"/>
  <c r="P140" i="9"/>
  <c r="Q124" i="3"/>
  <c r="R124" i="3" s="1"/>
  <c r="P125" i="3"/>
  <c r="N126" i="3"/>
  <c r="O125" i="3"/>
  <c r="Q140" i="9" l="1"/>
  <c r="R140" i="9" s="1"/>
  <c r="N142" i="9"/>
  <c r="P141" i="9"/>
  <c r="O141" i="9"/>
  <c r="N127" i="3"/>
  <c r="P126" i="3"/>
  <c r="O126" i="3"/>
  <c r="Q125" i="3"/>
  <c r="R125" i="3" s="1"/>
  <c r="Q141" i="9" l="1"/>
  <c r="R141" i="9" s="1"/>
  <c r="P142" i="9"/>
  <c r="N143" i="9"/>
  <c r="O142" i="9"/>
  <c r="Q126" i="3"/>
  <c r="R126" i="3" s="1"/>
  <c r="P127" i="3"/>
  <c r="N128" i="3"/>
  <c r="O127" i="3"/>
  <c r="Q142" i="9" l="1"/>
  <c r="R142" i="9" s="1"/>
  <c r="N144" i="9"/>
  <c r="O143" i="9"/>
  <c r="P143" i="9"/>
  <c r="N129" i="3"/>
  <c r="O128" i="3"/>
  <c r="P128" i="3"/>
  <c r="Q127" i="3"/>
  <c r="R127" i="3" s="1"/>
  <c r="Q143" i="9" l="1"/>
  <c r="R143" i="9" s="1"/>
  <c r="O144" i="9"/>
  <c r="N145" i="9"/>
  <c r="P144" i="9"/>
  <c r="Q128" i="3"/>
  <c r="R128" i="3" s="1"/>
  <c r="P129" i="3"/>
  <c r="O129" i="3"/>
  <c r="N130" i="3"/>
  <c r="Q144" i="9" l="1"/>
  <c r="R144" i="9" s="1"/>
  <c r="P145" i="9"/>
  <c r="N146" i="9"/>
  <c r="O145" i="9"/>
  <c r="N131" i="3"/>
  <c r="O130" i="3"/>
  <c r="P130" i="3"/>
  <c r="Q129" i="3"/>
  <c r="R129" i="3" s="1"/>
  <c r="O146" i="9" l="1"/>
  <c r="P146" i="9"/>
  <c r="N147" i="9"/>
  <c r="Q145" i="9"/>
  <c r="R145" i="9" s="1"/>
  <c r="Q130" i="3"/>
  <c r="R130" i="3" s="1"/>
  <c r="N132" i="3"/>
  <c r="O131" i="3"/>
  <c r="P131" i="3"/>
  <c r="Q131" i="3" s="1"/>
  <c r="R131" i="3" s="1"/>
  <c r="Q146" i="9" l="1"/>
  <c r="R146" i="9" s="1"/>
  <c r="N148" i="9"/>
  <c r="O147" i="9"/>
  <c r="P147" i="9"/>
  <c r="P132" i="3"/>
  <c r="N133" i="3"/>
  <c r="O132" i="3"/>
  <c r="Q147" i="9" l="1"/>
  <c r="R147" i="9" s="1"/>
  <c r="N149" i="9"/>
  <c r="O148" i="9"/>
  <c r="P148" i="9"/>
  <c r="O133" i="3"/>
  <c r="N134" i="3"/>
  <c r="P133" i="3"/>
  <c r="Q132" i="3"/>
  <c r="R132" i="3" s="1"/>
  <c r="Q148" i="9" l="1"/>
  <c r="R148" i="9" s="1"/>
  <c r="N150" i="9"/>
  <c r="O149" i="9"/>
  <c r="P149" i="9"/>
  <c r="Q133" i="3"/>
  <c r="R133" i="3" s="1"/>
  <c r="P134" i="3"/>
  <c r="O134" i="3"/>
  <c r="N135" i="3"/>
  <c r="Q149" i="9" l="1"/>
  <c r="R149" i="9" s="1"/>
  <c r="O150" i="9"/>
  <c r="P150" i="9"/>
  <c r="N151" i="9"/>
  <c r="P135" i="3"/>
  <c r="O135" i="3"/>
  <c r="N136" i="3"/>
  <c r="Q134" i="3"/>
  <c r="R134" i="3" s="1"/>
  <c r="Q150" i="9" l="1"/>
  <c r="R150" i="9" s="1"/>
  <c r="N152" i="9"/>
  <c r="O151" i="9"/>
  <c r="P151" i="9"/>
  <c r="P136" i="3"/>
  <c r="O136" i="3"/>
  <c r="N137" i="3"/>
  <c r="Q135" i="3"/>
  <c r="R135" i="3" s="1"/>
  <c r="Q151" i="9" l="1"/>
  <c r="R151" i="9" s="1"/>
  <c r="O152" i="9"/>
  <c r="P152" i="9"/>
  <c r="N153" i="9"/>
  <c r="P137" i="3"/>
  <c r="N138" i="3"/>
  <c r="O137" i="3"/>
  <c r="Q136" i="3"/>
  <c r="R136" i="3" s="1"/>
  <c r="P153" i="9" l="1"/>
  <c r="N154" i="9"/>
  <c r="O153" i="9"/>
  <c r="Q152" i="9"/>
  <c r="R152" i="9" s="1"/>
  <c r="N139" i="3"/>
  <c r="O138" i="3"/>
  <c r="P138" i="3"/>
  <c r="Q137" i="3"/>
  <c r="R137" i="3" s="1"/>
  <c r="O154" i="9" l="1"/>
  <c r="P154" i="9"/>
  <c r="N155" i="9"/>
  <c r="Q153" i="9"/>
  <c r="R153" i="9" s="1"/>
  <c r="Q138" i="3"/>
  <c r="R138" i="3" s="1"/>
  <c r="O139" i="3"/>
  <c r="P139" i="3"/>
  <c r="N140" i="3"/>
  <c r="Q154" i="9" l="1"/>
  <c r="R154" i="9" s="1"/>
  <c r="O155" i="9"/>
  <c r="P155" i="9"/>
  <c r="N156" i="9"/>
  <c r="Q139" i="3"/>
  <c r="R139" i="3" s="1"/>
  <c r="N141" i="3"/>
  <c r="O140" i="3"/>
  <c r="P140" i="3"/>
  <c r="Q155" i="9" l="1"/>
  <c r="R155" i="9" s="1"/>
  <c r="O156" i="9"/>
  <c r="N157" i="9"/>
  <c r="P156" i="9"/>
  <c r="N142" i="3"/>
  <c r="O141" i="3"/>
  <c r="P141" i="3"/>
  <c r="Q140" i="3"/>
  <c r="R140" i="3" s="1"/>
  <c r="Q156" i="9" l="1"/>
  <c r="R156" i="9" s="1"/>
  <c r="O157" i="9"/>
  <c r="P157" i="9"/>
  <c r="N158" i="9"/>
  <c r="P142" i="3"/>
  <c r="O142" i="3"/>
  <c r="O33" i="3" s="1"/>
  <c r="Q141" i="3"/>
  <c r="R141" i="3" s="1"/>
  <c r="Q157" i="9" l="1"/>
  <c r="R157" i="9" s="1"/>
  <c r="O158" i="9"/>
  <c r="N159" i="9"/>
  <c r="P158" i="9"/>
  <c r="P33" i="3"/>
  <c r="Q142" i="3"/>
  <c r="Q158" i="9" l="1"/>
  <c r="R158" i="9" s="1"/>
  <c r="O159" i="9"/>
  <c r="N160" i="9"/>
  <c r="P159" i="9"/>
  <c r="R142" i="3"/>
  <c r="R33" i="3" s="1"/>
  <c r="U18" i="3" s="1"/>
  <c r="U17" i="3" s="1"/>
  <c r="Q33" i="3"/>
  <c r="Q159" i="9" l="1"/>
  <c r="R159" i="9" s="1"/>
  <c r="O160" i="9"/>
  <c r="P160" i="9"/>
  <c r="N161" i="9"/>
  <c r="U21" i="3"/>
  <c r="AD9" i="3"/>
  <c r="Q160" i="9" l="1"/>
  <c r="R160" i="9" s="1"/>
  <c r="O161" i="9"/>
  <c r="P161" i="9"/>
  <c r="N162" i="9"/>
  <c r="X25" i="3"/>
  <c r="U22" i="3"/>
  <c r="AP22" i="3" s="1"/>
  <c r="Q161" i="9" l="1"/>
  <c r="R161" i="9" s="1"/>
  <c r="O162" i="9"/>
  <c r="P162" i="9"/>
  <c r="N163" i="9"/>
  <c r="P163" i="9" l="1"/>
  <c r="O163" i="9"/>
  <c r="N164" i="9"/>
  <c r="Q162" i="9"/>
  <c r="R162" i="9" s="1"/>
  <c r="P164" i="9" l="1"/>
  <c r="N165" i="9"/>
  <c r="O164" i="9"/>
  <c r="Q163" i="9"/>
  <c r="R163" i="9" s="1"/>
  <c r="P165" i="9" l="1"/>
  <c r="O165" i="9"/>
  <c r="N166" i="9"/>
  <c r="Q164" i="9"/>
  <c r="R164" i="9" s="1"/>
  <c r="O166" i="9" l="1"/>
  <c r="N167" i="9"/>
  <c r="P166" i="9"/>
  <c r="Q165" i="9"/>
  <c r="R165" i="9" s="1"/>
  <c r="Q166" i="9" l="1"/>
  <c r="R166" i="9" s="1"/>
  <c r="O167" i="9"/>
  <c r="N168" i="9"/>
  <c r="P167" i="9"/>
  <c r="Q167" i="9" l="1"/>
  <c r="R167" i="9" s="1"/>
  <c r="O168" i="9"/>
  <c r="P168" i="9"/>
  <c r="N169" i="9"/>
  <c r="Q168" i="9" l="1"/>
  <c r="R168" i="9" s="1"/>
  <c r="O169" i="9"/>
  <c r="P169" i="9"/>
  <c r="N170" i="9"/>
  <c r="Q169" i="9" l="1"/>
  <c r="R169" i="9" s="1"/>
  <c r="N171" i="9"/>
  <c r="O170" i="9"/>
  <c r="P170" i="9"/>
  <c r="Q170" i="9" l="1"/>
  <c r="R170" i="9" s="1"/>
  <c r="O171" i="9"/>
  <c r="N172" i="9"/>
  <c r="P171" i="9"/>
  <c r="Q171" i="9" s="1"/>
  <c r="R171" i="9" s="1"/>
  <c r="O172" i="9" l="1"/>
  <c r="N173" i="9"/>
  <c r="P172" i="9"/>
  <c r="Q172" i="9" l="1"/>
  <c r="R172" i="9" s="1"/>
  <c r="N174" i="9"/>
  <c r="P173" i="9"/>
  <c r="O173" i="9"/>
  <c r="Q173" i="9" l="1"/>
  <c r="R173" i="9" s="1"/>
  <c r="P174" i="9"/>
  <c r="N175" i="9"/>
  <c r="O174" i="9"/>
  <c r="P175" i="9" l="1"/>
  <c r="N176" i="9"/>
  <c r="O175" i="9"/>
  <c r="Q174" i="9"/>
  <c r="R174" i="9" s="1"/>
  <c r="Q175" i="9" l="1"/>
  <c r="R175" i="9" s="1"/>
  <c r="P176" i="9"/>
  <c r="O176" i="9"/>
  <c r="N177" i="9"/>
  <c r="O177" i="9" l="1"/>
  <c r="P177" i="9"/>
  <c r="N178" i="9"/>
  <c r="Q176" i="9"/>
  <c r="R176" i="9" s="1"/>
  <c r="Q177" i="9" l="1"/>
  <c r="R177" i="9" s="1"/>
  <c r="O178" i="9"/>
  <c r="P178" i="9"/>
  <c r="N179" i="9"/>
  <c r="O179" i="9" l="1"/>
  <c r="N180" i="9"/>
  <c r="P179" i="9"/>
  <c r="Q178" i="9"/>
  <c r="R178" i="9" s="1"/>
  <c r="Q179" i="9" l="1"/>
  <c r="R179" i="9" s="1"/>
  <c r="P180" i="9"/>
  <c r="N181" i="9"/>
  <c r="O180" i="9"/>
  <c r="O181" i="9" l="1"/>
  <c r="N182" i="9"/>
  <c r="P181" i="9"/>
  <c r="Q180" i="9"/>
  <c r="R180" i="9" s="1"/>
  <c r="Q181" i="9" l="1"/>
  <c r="R181" i="9" s="1"/>
  <c r="O182" i="9"/>
  <c r="P182" i="9"/>
  <c r="N183" i="9"/>
  <c r="Q182" i="9" l="1"/>
  <c r="R182" i="9" s="1"/>
  <c r="P183" i="9"/>
  <c r="O183" i="9"/>
  <c r="N184" i="9"/>
  <c r="O184" i="9" l="1"/>
  <c r="P184" i="9"/>
  <c r="N185" i="9"/>
  <c r="Q183" i="9"/>
  <c r="R183" i="9" s="1"/>
  <c r="Q184" i="9" l="1"/>
  <c r="R184" i="9" s="1"/>
  <c r="N186" i="9"/>
  <c r="P185" i="9"/>
  <c r="O185" i="9"/>
  <c r="Q185" i="9" l="1"/>
  <c r="R185" i="9" s="1"/>
  <c r="O186" i="9"/>
  <c r="N187" i="9"/>
  <c r="N188" i="9" s="1"/>
  <c r="P186" i="9"/>
  <c r="Q186" i="9" l="1"/>
  <c r="R186" i="9" s="1"/>
  <c r="N189" i="9"/>
  <c r="P188" i="9"/>
  <c r="O188" i="9"/>
  <c r="O187" i="9"/>
  <c r="P187" i="9"/>
  <c r="Q188" i="9" l="1"/>
  <c r="R188" i="9" s="1"/>
  <c r="O189" i="9"/>
  <c r="N190" i="9"/>
  <c r="P189" i="9"/>
  <c r="Q189" i="9" s="1"/>
  <c r="R189" i="9" s="1"/>
  <c r="Q187" i="9"/>
  <c r="O190" i="9" l="1"/>
  <c r="N191" i="9"/>
  <c r="P190" i="9"/>
  <c r="R187" i="9"/>
  <c r="Q190" i="9" l="1"/>
  <c r="R190" i="9" s="1"/>
  <c r="O191" i="9"/>
  <c r="P191" i="9"/>
  <c r="N192" i="9"/>
  <c r="AC22" i="9"/>
  <c r="Q191" i="9" l="1"/>
  <c r="R191" i="9" s="1"/>
  <c r="O192" i="9"/>
  <c r="P192" i="9"/>
  <c r="N193" i="9"/>
  <c r="F33" i="4"/>
  <c r="F41" i="4" s="1"/>
  <c r="F35" i="4"/>
  <c r="J35" i="4" s="1"/>
  <c r="Q192" i="9" l="1"/>
  <c r="R192" i="9" s="1"/>
  <c r="N194" i="9"/>
  <c r="O193" i="9"/>
  <c r="P193" i="9"/>
  <c r="Q193" i="9" l="1"/>
  <c r="R193" i="9" s="1"/>
  <c r="O194" i="9"/>
  <c r="P194" i="9"/>
  <c r="N195" i="9"/>
  <c r="Q194" i="9" l="1"/>
  <c r="R194" i="9" s="1"/>
  <c r="O195" i="9"/>
  <c r="O38" i="9" s="1"/>
  <c r="P195" i="9"/>
  <c r="Q195" i="9" l="1"/>
  <c r="P38" i="9"/>
  <c r="R195" i="9" l="1"/>
  <c r="R38" i="9" s="1"/>
  <c r="L30" i="9" s="1"/>
  <c r="Q38" i="9"/>
  <c r="L32" i="9" l="1"/>
  <c r="F38" i="4"/>
  <c r="G38" i="4"/>
  <c r="G40" i="4" s="1"/>
  <c r="I38" i="4"/>
  <c r="I40" i="4" s="1"/>
  <c r="H38" i="4"/>
  <c r="H40" i="4" s="1"/>
  <c r="F40" i="4" l="1"/>
  <c r="L40" i="4" s="1"/>
  <c r="J38" i="4"/>
  <c r="J40" i="4" s="1"/>
  <c r="J42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S9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sharedStrings.xml><?xml version="1.0" encoding="utf-8"?>
<sst xmlns="http://schemas.openxmlformats.org/spreadsheetml/2006/main" count="498" uniqueCount="174">
  <si>
    <t>L.p.</t>
  </si>
  <si>
    <t>Wyszczególnienie</t>
  </si>
  <si>
    <t>Kwota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</si>
  <si>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</si>
  <si>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</si>
  <si>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</si>
  <si>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</si>
  <si>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</si>
  <si>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</si>
  <si>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</si>
  <si>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</si>
  <si>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</si>
  <si>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</si>
  <si>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………………..</t>
  </si>
  <si>
    <t>mikro</t>
  </si>
  <si>
    <t>MSP</t>
  </si>
  <si>
    <t>Czy dofinansowanie jest pomocą publiczną</t>
  </si>
  <si>
    <t>TAK</t>
  </si>
  <si>
    <t>Koszty kwalifikowalne POIS</t>
  </si>
  <si>
    <t>Kwota dysk.</t>
  </si>
  <si>
    <t>Koszty</t>
  </si>
  <si>
    <t>Dotacja UE</t>
  </si>
  <si>
    <t>Łączna pomoc UE</t>
  </si>
  <si>
    <t>NIE</t>
  </si>
  <si>
    <t xml:space="preserve">Korzyści </t>
  </si>
  <si>
    <t>Koszty - korzyści</t>
  </si>
  <si>
    <t>Data</t>
  </si>
  <si>
    <t>EDB</t>
  </si>
  <si>
    <t>Stopa bazowa</t>
  </si>
  <si>
    <t>Koszty kwalifikowalne</t>
  </si>
  <si>
    <t>Wysoki</t>
  </si>
  <si>
    <t>Stopa dyskonta</t>
  </si>
  <si>
    <t>Dofinansowanie UE</t>
  </si>
  <si>
    <t>Dobry</t>
  </si>
  <si>
    <t>Rating</t>
  </si>
  <si>
    <t>Zadowalający</t>
  </si>
  <si>
    <t xml:space="preserve">   Pomoc zwrotna</t>
  </si>
  <si>
    <t>Marża</t>
  </si>
  <si>
    <t>Niski</t>
  </si>
  <si>
    <t>Stopa referencyjna</t>
  </si>
  <si>
    <t>Inna pomoc</t>
  </si>
  <si>
    <t>intensywność</t>
  </si>
  <si>
    <t>Zły/Trudności fin.</t>
  </si>
  <si>
    <t xml:space="preserve">Stopa oprocentowania pomocy zwrotnej </t>
  </si>
  <si>
    <t>Łączna pomoc</t>
  </si>
  <si>
    <t>z tego:</t>
  </si>
  <si>
    <t>pomoc na EE</t>
  </si>
  <si>
    <t>Premia inwestycyjna</t>
  </si>
  <si>
    <t>pomoc na OZE</t>
  </si>
  <si>
    <t>Pożyczka</t>
  </si>
  <si>
    <t>Rok</t>
  </si>
  <si>
    <t>Kwart.</t>
  </si>
  <si>
    <t>nr_kwart</t>
  </si>
  <si>
    <t>wsk.dysk_kw.</t>
  </si>
  <si>
    <t>wsk.dysk_r.</t>
  </si>
  <si>
    <t>koszty_dysk</t>
  </si>
  <si>
    <t>Korzyści</t>
  </si>
  <si>
    <t>korzyści_dysk</t>
  </si>
  <si>
    <t>Wypłaty</t>
  </si>
  <si>
    <t>Spłaty</t>
  </si>
  <si>
    <t>Spłaty - umorz.</t>
  </si>
  <si>
    <t>Zadłużenie</t>
  </si>
  <si>
    <t>Odsetki poż.</t>
  </si>
  <si>
    <t>Odsetki ref.</t>
  </si>
  <si>
    <t>Odsetki_różn.</t>
  </si>
  <si>
    <t>Odsetki_różn_dysk</t>
  </si>
  <si>
    <t>Spłaty pomniejszone o premię inwestycyjną</t>
  </si>
  <si>
    <t>umorz_r</t>
  </si>
  <si>
    <t>umorz_r_dysk</t>
  </si>
  <si>
    <t>I</t>
  </si>
  <si>
    <t>II</t>
  </si>
  <si>
    <t>III</t>
  </si>
  <si>
    <t>IV</t>
  </si>
  <si>
    <t>Intensywność łącznej pomocy</t>
  </si>
  <si>
    <t xml:space="preserve">Max intensywność pomocy </t>
  </si>
  <si>
    <t>W tabeli poniżej należy wpisać koszty w złotych, bez VAT (chyba że wnioskodawca nie ma możliwości odzyskania lub odliczenia VAT)</t>
  </si>
  <si>
    <t>Kwota jako % kosztów kwal.</t>
  </si>
  <si>
    <t xml:space="preserve">      Premia inwestycyjna</t>
  </si>
  <si>
    <t>INSTRUKCJA</t>
  </si>
  <si>
    <t>Tytuł przedsięwzięcia:</t>
  </si>
  <si>
    <t>Element przedsięwzięcia:</t>
  </si>
  <si>
    <t>Dany element przedsięwzięcia będzie wykorzystywał wyłącznie odnawialne źródła energii (w tym kogenerację z OZE), ciepło odpadowe lub ich połączenie?</t>
  </si>
  <si>
    <t>wyłącznie OZE i ciepło odpadowe</t>
  </si>
  <si>
    <t>Nazwa wnioskodawcy:</t>
  </si>
  <si>
    <t>Koszty poniesione przed dniem złożenia wniosku</t>
  </si>
  <si>
    <t>2.4</t>
  </si>
  <si>
    <t>2.5</t>
  </si>
  <si>
    <t>2.6</t>
  </si>
  <si>
    <t>Dotacja dysk.</t>
  </si>
  <si>
    <t>Dotacja</t>
  </si>
  <si>
    <t>Umorzenie</t>
  </si>
  <si>
    <t>Data kursu</t>
  </si>
  <si>
    <t>Kurs €</t>
  </si>
  <si>
    <t>Koszt przedsięwzięcia</t>
  </si>
  <si>
    <t>Suma kosztów inwestycji</t>
  </si>
  <si>
    <t>W przypadku ewentualnych kosztów wspólnych dla różnych części inwestycji (np. kosztów przygotowania projektu inwestycyjnego, kosztów nadzoru) należy poniżej wyjaśnić, w jaki sposób rozdzielono ewentualne koszty wspólne na poszczególne kolumny w tabeli:</t>
  </si>
  <si>
    <t>Stopa pożyczki IF</t>
  </si>
  <si>
    <t>Kurs euro</t>
  </si>
  <si>
    <t>Wartość pomocy (EDB)</t>
  </si>
  <si>
    <t>W arkuszu "koszty":</t>
  </si>
  <si>
    <r>
      <t xml:space="preserve">* Do objęcia pomocą przewidzianą w </t>
    </r>
    <r>
      <rPr>
        <i/>
        <sz val="9"/>
        <rFont val="Arial"/>
        <family val="2"/>
        <charset val="238"/>
      </rPr>
      <t>rozporządzeniu Ministra Klimatu i Środowiska z dnia 22 listopada 2023 r. w sprawie udzielania pomocy publicznej w obszarze energetyki i środowiska w ramach programu „Fundusze Europejskie na Infrastrukturę, Klimat, Środowisko 2021–2027”</t>
    </r>
    <r>
      <rPr>
        <sz val="9"/>
        <rFont val="Arial"/>
        <family val="2"/>
        <charset val="238"/>
      </rPr>
      <t xml:space="preserve"> kwalifikują się koszty inwestycji spełniające łącznie poniższe warunki:
    - są ponoszone po złożeniu wniosku o dofinansowanie (jako dzień poniesienia kosztu należy rozumieć dzień, w którym wnioskodawca podjął zobowiązanie do poniesienia kosztu),
    - kwalifikują się do objęcia pomocą w ramach ww. rozporządzenia  Ministra Klimatu i Środowiska z dnia 22 listopada 2023 r.,
    - kwalifikują się do dofinansowania w ramach danego naboru.
Koszty działań edukacyjnych nie są zaliczane do kosztów inwestycji, należy je podać w poz. 6.</t>
    </r>
  </si>
  <si>
    <t>Magazyn ciepła</t>
  </si>
  <si>
    <t>Sieć dystrybucji</t>
  </si>
  <si>
    <t>1.8</t>
  </si>
  <si>
    <t>Koszty kwalifikowane, w tym:</t>
  </si>
  <si>
    <t>Działania edukacyjne (pomoc de minimis)</t>
  </si>
  <si>
    <t>RAZEM</t>
  </si>
  <si>
    <t>Maksymalna intensywność pomocy na dany element przedsięwzięcia</t>
  </si>
  <si>
    <t>luka w finansowaniu</t>
  </si>
  <si>
    <t>Maksymalna wartość pomocy (EDB) na dany element przedsięwzięcia</t>
  </si>
  <si>
    <t>Limit pomocy de minimis na 3 lata (w euro)</t>
  </si>
  <si>
    <t xml:space="preserve">  Przygotowanie inwestycji</t>
  </si>
  <si>
    <t xml:space="preserve">  Zarządzanie procesem inwestycyjnym, w tym nadzór nad robotami
  budowlanymi</t>
  </si>
  <si>
    <t xml:space="preserve">  Nabycie praw związanych z nieruchomościami</t>
  </si>
  <si>
    <t xml:space="preserve">  Roboty budowlane wraz z materiałami, opłatami przyłączeniowymi,
  uruchomieniem i rozruchem</t>
  </si>
  <si>
    <t xml:space="preserve">  Sprzęt i wyposażenie</t>
  </si>
  <si>
    <t xml:space="preserve">  Wartości niematerialne i prawne</t>
  </si>
  <si>
    <t xml:space="preserve">  Inne opłaty i obciążenia bezpośrednio związane z realizacją projektu
  inwestycyjnego (w tym koszty informacji i promocji)</t>
  </si>
  <si>
    <t xml:space="preserve">  Działania edukacyjne</t>
  </si>
  <si>
    <t xml:space="preserve">Maksymalna wartość (EDB) pomocy de minimis (w złotych) </t>
  </si>
  <si>
    <t>Wartość (EDB) pomocy de minimis otrzymanej w okresie 3 lat (w euro)</t>
  </si>
  <si>
    <r>
      <rPr>
        <i/>
        <sz val="10"/>
        <rFont val="Arial"/>
        <family val="2"/>
        <charset val="238"/>
      </rPr>
      <t xml:space="preserve">Czy </t>
    </r>
    <r>
      <rPr>
        <b/>
        <i/>
        <sz val="10"/>
        <rFont val="Arial"/>
        <family val="2"/>
        <charset val="238"/>
      </rPr>
      <t>magazyn ciepła</t>
    </r>
    <r>
      <rPr>
        <i/>
        <sz val="10"/>
        <rFont val="Arial"/>
        <family val="2"/>
        <charset val="238"/>
      </rPr>
      <t xml:space="preserve"> będzie wykorzystywał wyłącznie ciepło z odnawialnych źródeł energii, ciepło odpadowe lub ich połączenie</t>
    </r>
    <r>
      <rPr>
        <b/>
        <i/>
        <sz val="10"/>
        <rFont val="Arial"/>
        <family val="2"/>
        <charset val="238"/>
      </rPr>
      <t>?</t>
    </r>
  </si>
  <si>
    <t>Instalacja do produkcji ciepła z OZE (zasilająca węzły hybrydowe)</t>
  </si>
  <si>
    <t>Wypłaty pożyczki IF</t>
  </si>
  <si>
    <t>Spłaty pożyczki IF</t>
  </si>
  <si>
    <t>Harmonogram wypłat i spłat pożyczki IF</t>
  </si>
  <si>
    <t xml:space="preserve"> pożyczka NFOŚiGW nie stanowi pomocy publicznej</t>
  </si>
  <si>
    <r>
      <t>Dotacja IF (D</t>
    </r>
    <r>
      <rPr>
        <vertAlign val="subscript"/>
        <sz val="12"/>
        <rFont val="Arial"/>
        <family val="2"/>
        <charset val="238"/>
      </rPr>
      <t>IF</t>
    </r>
    <r>
      <rPr>
        <sz val="10"/>
        <rFont val="Arial"/>
        <family val="2"/>
        <charset val="238"/>
      </rPr>
      <t>)</t>
    </r>
  </si>
  <si>
    <r>
      <t>Pożyczka IF (P</t>
    </r>
    <r>
      <rPr>
        <vertAlign val="subscript"/>
        <sz val="12"/>
        <rFont val="Arial"/>
        <family val="2"/>
        <charset val="238"/>
      </rPr>
      <t>IF</t>
    </r>
    <r>
      <rPr>
        <sz val="10"/>
        <rFont val="Arial"/>
        <family val="2"/>
        <charset val="238"/>
      </rPr>
      <t>)</t>
    </r>
  </si>
  <si>
    <r>
      <t>Pożyczka NFOŚiGW (P</t>
    </r>
    <r>
      <rPr>
        <vertAlign val="subscript"/>
        <sz val="12"/>
        <rFont val="Arial"/>
        <family val="2"/>
        <charset val="238"/>
      </rPr>
      <t>NF</t>
    </r>
    <r>
      <rPr>
        <sz val="10"/>
        <rFont val="Arial"/>
        <family val="2"/>
        <charset val="238"/>
      </rPr>
      <t>)</t>
    </r>
  </si>
  <si>
    <t xml:space="preserve">S U M A : </t>
  </si>
  <si>
    <t>Koszty kwalifikowane (KK)</t>
  </si>
  <si>
    <t>Struktura finansowania przedsięwzięcia</t>
  </si>
  <si>
    <r>
      <t xml:space="preserve">  Czy D</t>
    </r>
    <r>
      <rPr>
        <vertAlign val="subscript"/>
        <sz val="12"/>
        <rFont val="Arial"/>
        <family val="2"/>
        <charset val="238"/>
      </rPr>
      <t>IF</t>
    </r>
    <r>
      <rPr>
        <sz val="10"/>
        <rFont val="Arial"/>
        <family val="2"/>
        <charset val="238"/>
      </rPr>
      <t xml:space="preserve"> ≤ 49% (D</t>
    </r>
    <r>
      <rPr>
        <vertAlign val="subscript"/>
        <sz val="12"/>
        <rFont val="Arial"/>
        <family val="2"/>
        <charset val="238"/>
      </rPr>
      <t>IF</t>
    </r>
    <r>
      <rPr>
        <sz val="10"/>
        <rFont val="Arial"/>
        <family val="2"/>
        <charset val="238"/>
      </rPr>
      <t xml:space="preserve"> + P</t>
    </r>
    <r>
      <rPr>
        <vertAlign val="subscript"/>
        <sz val="12"/>
        <rFont val="Arial"/>
        <family val="2"/>
        <charset val="238"/>
      </rPr>
      <t>IF</t>
    </r>
    <r>
      <rPr>
        <sz val="10"/>
        <rFont val="Arial"/>
        <family val="2"/>
        <charset val="238"/>
      </rPr>
      <t xml:space="preserve">)? </t>
    </r>
  </si>
  <si>
    <r>
      <t xml:space="preserve">  Czy D</t>
    </r>
    <r>
      <rPr>
        <vertAlign val="subscript"/>
        <sz val="12"/>
        <color theme="1"/>
        <rFont val="Arial"/>
        <family val="2"/>
        <charset val="238"/>
      </rPr>
      <t>IF</t>
    </r>
    <r>
      <rPr>
        <sz val="10"/>
        <color theme="1"/>
        <rFont val="Arial"/>
        <family val="2"/>
        <charset val="238"/>
      </rPr>
      <t xml:space="preserve"> + P</t>
    </r>
    <r>
      <rPr>
        <vertAlign val="subscript"/>
        <sz val="12"/>
        <color theme="1"/>
        <rFont val="Arial"/>
        <family val="2"/>
        <charset val="238"/>
      </rPr>
      <t>IF</t>
    </r>
    <r>
      <rPr>
        <sz val="10"/>
        <color theme="1"/>
        <rFont val="Arial"/>
        <family val="2"/>
        <charset val="238"/>
      </rPr>
      <t xml:space="preserve"> = 79,71% KK? </t>
    </r>
  </si>
  <si>
    <t>Łączna pomoc publiczna</t>
  </si>
  <si>
    <t>Numery zadań lub podzadań w "Harmonogramie realizacji przedsięwzięcia"</t>
  </si>
  <si>
    <t>Maksymalna wartość pomocy de minimis (na działania edukacyjne)</t>
  </si>
  <si>
    <t xml:space="preserve">Kurs euro z dnia  </t>
  </si>
  <si>
    <t>Luka w finansowaniu (dotyczy tylko sieci dystrybucji)</t>
  </si>
  <si>
    <t>E l e m e n t y   p r z e d s i ę w z i ę c i a</t>
  </si>
  <si>
    <t>Wartość pomocy (EDB) z pożyczki IF na dany element przedsięwzięcia</t>
  </si>
  <si>
    <t>Wartość łącznej pomocy (EDB) na dany element przedsięwzięcia</t>
  </si>
  <si>
    <t>Wielkość przedsiębiorstwa</t>
  </si>
  <si>
    <t>duże</t>
  </si>
  <si>
    <t>średnie</t>
  </si>
  <si>
    <t>małe</t>
  </si>
  <si>
    <t>Podział kwoty dotacji IF na poszczególne elementy przedsięwzięcia</t>
  </si>
  <si>
    <t>Podział kwoty pożyczki IF na poszczególne elementy przedsięwzięcia</t>
  </si>
  <si>
    <t>Kalkulator pomocy publicznej
-Współfinansowanie projektów realizowanych w ramach Programu FEnIKS 2021-2027, 
  Część 4) Sieć ciepłownicza/chłodnicza efektywny system ciepłowniczy</t>
  </si>
  <si>
    <r>
      <t>Kwoty KK, D</t>
    </r>
    <r>
      <rPr>
        <b/>
        <vertAlign val="subscript"/>
        <sz val="12"/>
        <rFont val="Arial"/>
        <family val="2"/>
        <charset val="238"/>
      </rPr>
      <t>IF</t>
    </r>
    <r>
      <rPr>
        <b/>
        <sz val="10"/>
        <rFont val="Arial"/>
        <family val="2"/>
        <charset val="238"/>
      </rPr>
      <t xml:space="preserve"> i P</t>
    </r>
    <r>
      <rPr>
        <b/>
        <vertAlign val="subscript"/>
        <sz val="12"/>
        <rFont val="Arial"/>
        <family val="2"/>
        <charset val="238"/>
      </rPr>
      <t>IF</t>
    </r>
    <r>
      <rPr>
        <b/>
        <sz val="10"/>
        <rFont val="Arial"/>
        <family val="2"/>
        <charset val="238"/>
      </rPr>
      <t xml:space="preserve"> podane w arkuszu "finansowanie"</t>
    </r>
  </si>
  <si>
    <t>Łączna kwota dotacji IF i pożyczki IF na dany element przedsięwzięcia</t>
  </si>
  <si>
    <t>Maksymalna wartość (EDB) pomocy de minimis (w euro)</t>
  </si>
  <si>
    <t>udział danego elementu przedsięwzięcia w kosztach kwalifikowanych</t>
  </si>
  <si>
    <r>
      <t xml:space="preserve"> - na </t>
    </r>
    <r>
      <rPr>
        <u/>
        <sz val="11"/>
        <color rgb="FF000000"/>
        <rFont val="Arial"/>
        <family val="2"/>
        <charset val="238"/>
      </rPr>
      <t>instalacje do produkcji ciepła z OZE (zasilające węzły hybrydowe)</t>
    </r>
    <r>
      <rPr>
        <sz val="11"/>
        <color indexed="8"/>
        <rFont val="Arial"/>
        <family val="2"/>
        <charset val="238"/>
      </rPr>
      <t xml:space="preserve"> pomoc jest udzielana na zasadach określonych w </t>
    </r>
    <r>
      <rPr>
        <i/>
        <sz val="11"/>
        <color rgb="FF000000"/>
        <rFont val="Arial"/>
        <family val="2"/>
        <charset val="238"/>
      </rPr>
      <t>rozporządzeniu Ministra Klimatu i Środowiska z dnia 22 listopada 2023 r. w sprawie udzielania pomocy publicznej w obszarze energetyki i środowiska w ramach programu „Fundusze Europejskie na Infrastrukturę, Klimat, Środowisko 2021–2027"</t>
    </r>
    <r>
      <rPr>
        <sz val="11"/>
        <color indexed="8"/>
        <rFont val="Arial"/>
        <family val="2"/>
        <charset val="238"/>
      </rPr>
      <t xml:space="preserve"> (Dz.U. z 2023 r. poz. 2558). Maksymalną wielkość pomocy ustala się stosując metodę wskazaną w § 14 ust. 4 i 5 tego rozporządzenia, tj. jako procent kosztów kwalifikowanych instalacji do produkcji ciepła z OZE.</t>
    </r>
  </si>
  <si>
    <r>
      <t xml:space="preserve"> - na </t>
    </r>
    <r>
      <rPr>
        <u/>
        <sz val="11"/>
        <color rgb="FF000000"/>
        <rFont val="Arial"/>
        <family val="2"/>
        <charset val="238"/>
      </rPr>
      <t>działania edukacyjne</t>
    </r>
    <r>
      <rPr>
        <sz val="11"/>
        <color indexed="8"/>
        <rFont val="Arial"/>
        <family val="2"/>
        <charset val="238"/>
      </rPr>
      <t xml:space="preserve"> pomoc jest udzielana jako pomoc de minimis na zasadach określonych w </t>
    </r>
    <r>
      <rPr>
        <i/>
        <sz val="11"/>
        <color rgb="FF000000"/>
        <rFont val="Arial"/>
        <family val="2"/>
        <charset val="238"/>
      </rPr>
      <t>rozporządzeniu Komisji (UE) 2023/2831 z dnia 13 grudnia 2023 r. w sprawie stosowania art. 107 i 108 Traktatu o funkcjonowaniu Unii Europejskiej do pomocy de minimis</t>
    </r>
    <r>
      <rPr>
        <sz val="11"/>
        <color indexed="8"/>
        <rFont val="Arial"/>
        <family val="2"/>
        <charset val="238"/>
      </rPr>
      <t xml:space="preserve">. </t>
    </r>
  </si>
  <si>
    <t>MŚP</t>
  </si>
  <si>
    <t>W arkuszu "finansowanie":</t>
  </si>
  <si>
    <t xml:space="preserve"> - Należy uzupełnić dane identyfikacyjne, tj. nazwę wnioskodawcy i tytuł przedsięwzięcia,</t>
  </si>
  <si>
    <r>
      <t xml:space="preserve"> - wybrać wielkość przedsiębiorstwa, tj. duże, średnie, małe lub </t>
    </r>
    <r>
      <rPr>
        <sz val="11"/>
        <rFont val="Arial"/>
        <family val="2"/>
        <charset val="238"/>
      </rPr>
      <t>mikro</t>
    </r>
    <r>
      <rPr>
        <sz val="11"/>
        <color indexed="8"/>
        <rFont val="Arial"/>
        <family val="2"/>
        <charset val="238"/>
      </rPr>
      <t xml:space="preserve"> - zgodnie z definicją zawartą w załączniku I do 
   </t>
    </r>
    <r>
      <rPr>
        <i/>
        <sz val="11"/>
        <color indexed="8"/>
        <rFont val="Arial"/>
        <family val="2"/>
        <charset val="238"/>
      </rPr>
      <t>rozporządzenia Komisji (UE) Nr 651/2014 z dnia 17 czerwca 2014 r. uznającego niektóre rodzaje pomocy za zgodne z rynkiem
   wewnętrznym w zastosowaniu art. 107 i 108 Traktatu,</t>
    </r>
  </si>
  <si>
    <t>W tabeli, dla każdego elementu przedsięwzięcia, należy podać numery zadań lub podzadań w "Harmonogramie realizacji przedsięwzięcia" (HRP). Informacje te pozwalają na skorelowanie podziału kosztów kwalifikowanych zastosowanego w tabeli (na potrzeby weryfikacji pomocy publicznej) z podziałem kosztów zastosowanym w HRP. Niektóre numery zadań lub podzadań z HRP mogą się powtarzać w kilku kolumnach (gdy dane zadanie lub podzadanie z HRP dotyczy kilku elementów przedsięwzięcia). Żaden numer zadania/podzadania z HRP nie powinien zostać pominięty.</t>
  </si>
  <si>
    <t xml:space="preserve">W poz. 2 (komórka F22) należy podać wartość luki w finansowaniu. Wyliczenia luki w finansowaniu należy dokonać w załączniku „Model finansowy” zgodnie z założeniami przedstawionymi w instrukcji sporządzania Studium Wykonalności. </t>
  </si>
  <si>
    <r>
      <t xml:space="preserve"> - na </t>
    </r>
    <r>
      <rPr>
        <u/>
        <sz val="11"/>
        <color rgb="FF000000"/>
        <rFont val="Arial"/>
        <family val="2"/>
        <charset val="238"/>
      </rPr>
      <t>sieć dystrybucji ciepła/chłodu</t>
    </r>
    <r>
      <rPr>
        <sz val="11"/>
        <color indexed="8"/>
        <rFont val="Arial"/>
        <family val="2"/>
        <charset val="238"/>
      </rPr>
      <t xml:space="preserve"> pomoc jest udzielana na zasadach określonych w </t>
    </r>
    <r>
      <rPr>
        <i/>
        <sz val="11"/>
        <color rgb="FF000000"/>
        <rFont val="Arial"/>
        <family val="2"/>
        <charset val="238"/>
      </rPr>
      <t>rozporządzeniu Ministra Klimatu i Środowiska z dnia 22 listopada 2023 r. w sprawie udzielania pomocy publicznej na inwestycje w sieć dystrybucji w obszarze efektywnego energetycznie systemu ciepłowniczego i chłodniczego w ramach programu „Fundusze Europejskie na Infrastrukturę, Klimat, Środowisko 2021–2027"</t>
    </r>
    <r>
      <rPr>
        <sz val="11"/>
        <color indexed="8"/>
        <rFont val="Arial"/>
        <family val="2"/>
        <charset val="238"/>
      </rPr>
      <t xml:space="preserve"> (Dz.U. z 2023 r. poz. 2558). Maksymalną wielkość pomocy ustala się stosując metodę wskazaną w § 9 ust. 5 tego rozporządzenia, tj. obliczając tzw. lukę w finansowaniu. Wyliczenia luki w finansowaniu należy dokonać w załączniku „Model finansowy” zgodnie z założeniami przedstawionymi w instrukcji sporządzania Studium Wykonalności.</t>
    </r>
  </si>
  <si>
    <t xml:space="preserve">W arkuszach "finansowanie" i "koszty" komórki szare są zablokowane do edycji. Do wypełnienia przeznaczone są komórki białe. </t>
  </si>
  <si>
    <t>W tabeli "Harmonogram wypłat i spłat pożyczki IF" należy podać kwoty wypłat i spłat w kwartałach. W przypadku gdy suma wypłat lub spłat różni się od kwoty pożyczki IF (komórka K30), wyświetlany jest komunikat o błędzie.</t>
  </si>
  <si>
    <t xml:space="preserve">W poz. 1 obliczana jest suma kosztów kwalifikowanych poszczególnych elementów przedsięwzięcia. W przypadku gdy suma kosztów kwalifikowanych (komórka J16) różni się od kwoty kosztów kwalifikowanych podanej w arkuszu "finansowanie", wyświetlany jest komunikat o błędzie. Bezpośrednio pod poz. 1 obliczany jest udział (%) danego elementu w kosztach kwalifikowanych. Procent ten można (ale nie trzeba) wykorzystać przy podziale kwoty dotacji IF i pożyczki IF w poz. 5 i 6. 	 </t>
  </si>
  <si>
    <t>W poz. 3 wyświetlana jest maksymalna intensywność pomocy, a w poz. 4 maksymalna wartość pomocy wartość pomocy (EDB) na dany element przedsięwzięcia. W przypadku pomocy de minimis na koszty działań edukacyjnych, do ustalenia maksymalnej jej wartości (EDB) konieczne jest wypełnie tabeli "Maksymalna wartość pomocy de minimis (na działania edukacyjne)", gdzie należy uzupełnić:
 - wartość (EDB) pomocy de minimis otrzymanej w okresie 3 lat (w euro) (wartość ta podawana jest we wniosku, w zakładce "Pomoc publiczna"),
 - aktualny kurs euro (średni kurs NBP) i datę kursu euro.</t>
  </si>
  <si>
    <r>
      <t xml:space="preserve"> - na </t>
    </r>
    <r>
      <rPr>
        <u/>
        <sz val="11"/>
        <color rgb="FF000000"/>
        <rFont val="Arial"/>
        <family val="2"/>
        <charset val="238"/>
      </rPr>
      <t>magazyny ciepła</t>
    </r>
    <r>
      <rPr>
        <sz val="11"/>
        <color indexed="8"/>
        <rFont val="Arial"/>
        <family val="2"/>
        <charset val="238"/>
      </rPr>
      <t xml:space="preserve"> pomoc jest udzielana na zasadach określonych w </t>
    </r>
    <r>
      <rPr>
        <i/>
        <sz val="11"/>
        <color rgb="FF000000"/>
        <rFont val="Arial"/>
        <family val="2"/>
        <charset val="238"/>
      </rPr>
      <t>rozporządzeniu Ministra Klimatu i Środowiska z dnia 22 listopada 2023 r. w sprawie udzielania pomocy publicznej w obszarze energetyki i środowiska w ramach programu „Fundusze Europejskie na Infrastrukturę, Klimat, Środowisko 2021–2027"</t>
    </r>
    <r>
      <rPr>
        <sz val="11"/>
        <color indexed="8"/>
        <rFont val="Arial"/>
        <family val="2"/>
        <charset val="238"/>
      </rPr>
      <t xml:space="preserve"> (Dz.U. z 2023 r. poz. 2558). Maksymalną wielkość pomocy ustala się stosując metodę wskazaną w § 14 ust. 4 i 5 tego rozporządzenia, tj. jako procent kosztów kwalifikowanych magazynu.</t>
    </r>
  </si>
  <si>
    <t>Głównym celem Kalkulatora jest sprawdzenie, czy dofinansowanie przedsięwzięcia jest zgodne z zasadami pomocy publicznej. Dla różnych części (elementów) przedsięwzięcia obowiązują różne zasady pomocy publicznej:</t>
  </si>
  <si>
    <t xml:space="preserve">W poz. 5 i 6 należy podzielić kwotę dotacji IF i pożyczki IF na poszczególne elementy przedsięwzięcia. Można zastosować podział proporcjonalny odpowiadający udziałowi kosztu danego elementu w kosztach kwalifikowanych przedsięwzięcia (udział ten jest obliczony bezpośrednio pod poz. 1) lub inny sposób podziału. Jeśli suma kwot dotacji IF/pożyczki IF na poszczególne elementy jest różna od kwoty dotacji IF/pożyczki IF w arkuszu "finansowanie", wyświetlany jest komunikat o błędzie. Na podstawie tego podziału ustalana jest wartość pomocy (EDB) przypadająca na dany element przedsięwzięcia, jest ona prezentowana w poz. 9. Wartość w poz. 9  nie może przekraczać wartości z poz. 4. Przekroczenie jest sygnalizowane komunikatem o błędzie. </t>
  </si>
  <si>
    <t xml:space="preserve"> - podać datę wypełniania kalkulatora; na tę datę dyskontowana jest wartość pomocy (EDB) z pożyczki IF,
 - podać aktualną stopę bazową (jest ona publikowana na stronie https://uokik.gov.pl/wyjasnienia-wzory-oraz-pomocne-pliki),
 - podać rating wnioskodawcy (rating należy ustalić w załączniku "Kalkulator WACC").</t>
  </si>
  <si>
    <r>
      <t>W tabeli "Struktura finansowania przedsięwzięcia" należy podać koszty kwalifikowane (KK) przedsięwzięcia oraz kwotę wnioskowanej dotacji IF (D</t>
    </r>
    <r>
      <rPr>
        <vertAlign val="subscript"/>
        <sz val="11"/>
        <color rgb="FF000000"/>
        <rFont val="Arial"/>
        <family val="2"/>
        <charset val="238"/>
      </rPr>
      <t>IF</t>
    </r>
    <r>
      <rPr>
        <sz val="11"/>
        <color indexed="8"/>
        <rFont val="Arial"/>
        <family val="2"/>
        <charset val="238"/>
      </rPr>
      <t>). Na tej podstawie automatycznie wyliczana jest kwota pożyczki IF (P</t>
    </r>
    <r>
      <rPr>
        <vertAlign val="subscript"/>
        <sz val="11"/>
        <color rgb="FF000000"/>
        <rFont val="Arial"/>
        <family val="2"/>
        <charset val="238"/>
      </rPr>
      <t>IF</t>
    </r>
    <r>
      <rPr>
        <sz val="11"/>
        <color indexed="8"/>
        <rFont val="Arial"/>
        <family val="2"/>
        <charset val="238"/>
      </rPr>
      <t>) oraz kwota pożyczki NFOŚiGW (P</t>
    </r>
    <r>
      <rPr>
        <vertAlign val="subscript"/>
        <sz val="11"/>
        <color rgb="FF000000"/>
        <rFont val="Arial"/>
        <family val="2"/>
        <charset val="238"/>
      </rPr>
      <t>NF</t>
    </r>
    <r>
      <rPr>
        <sz val="11"/>
        <color indexed="8"/>
        <rFont val="Arial"/>
        <family val="2"/>
        <charset val="238"/>
      </rPr>
      <t>). Kwota dotacji IF może wymagać późniejszego skorygowania, jeśli taka konieczność wyniknie przy weryfikacji dopuszczalności pomocy na poszczególne elementy przedsięwzięcia (weryfikacja taka dokonywana jest w arkuszu "koszty"). Pod tabelą znajduje się sprawdzenie warunków dotyczących struktury finansowania określonych w programie priorytetowym. Jeśli dany warunek jest spełniony, to pojawia się przy nim "OK" (w kolorze zielonym), w przeciwnym razie pojawia się przy nim "BŁĄD!" (w kolorze czerwonym).</t>
    </r>
  </si>
  <si>
    <t>W przypadku magazynu ciepła należy odpowiedzieć, czy będzie on wykorzystywał wyłącznie ciepło z odnawialnych źródeł energii, ciepło odpadowe lub ich połączenie. Odpowiedź ma wpływ na maksymalną intensywność pomocy na magazyn ciepła.</t>
  </si>
  <si>
    <t>W poz. 1.1-1.8 należy podać koszty kwalifikowane poszczególnych elementów przedsięwzięcia (w podziale przewidzianym w poz. 1.1-1.8). Koszty kwalifikowane muszą być zgodne z zasadami dotyczącymi pomocy publicznej na dany element przedsięwzięcia (np. nie są kwalifikowane koszty poniesione przed złożeniem wniosku, ograniczenie to nie dotyczy jedynie pomocy de minimis), jak i z zasadami przewidzianymi w programie priorytetowym. Koszty wspólne dla kilku elementów przedsięwzięcia (np. przygotowanie inwestycji, zarządzanie procesem inwestycyjnym, inne opłaty i obciążenia) należy przypisać do elementu przedsięwzięcia o największym udziale w kosztach, chyba że wnioskodawca przewiduje odrębne określenie pewnych kosztów wspólnych (np. przewiduje odrębne umowy dot. nadzoru w zakresie sieci dystrybucji i nadzoru w zakresie magazynu ciepła).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</si>
</sst>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0.000"/>
    <numFmt numFmtId="166" formatCode="0.0000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</font>
    <font>
      <sz val="9"/>
      <color indexed="81"/>
      <name val="Tahoma"/>
      <family val="2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indexed="8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theme="1"/>
      <name val="Arial"/>
      <family val="2"/>
      <charset val="238"/>
    </font>
    <font>
      <vertAlign val="subscript"/>
      <sz val="12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vertAlign val="subscript"/>
      <sz val="12"/>
      <color theme="1"/>
      <name val="Arial"/>
      <family val="2"/>
      <charset val="238"/>
    </font>
    <font>
      <b/>
      <vertAlign val="subscript"/>
      <sz val="12"/>
      <name val="Arial"/>
      <family val="2"/>
      <charset val="238"/>
    </font>
    <font>
      <b/>
      <sz val="10"/>
      <name val="Arial Black"/>
      <family val="2"/>
      <charset val="238"/>
    </font>
    <font>
      <b/>
      <sz val="8"/>
      <name val="Arial"/>
      <family val="2"/>
      <charset val="238"/>
    </font>
    <font>
      <i/>
      <sz val="11"/>
      <color rgb="FF000000"/>
      <name val="Arial"/>
      <family val="2"/>
      <charset val="238"/>
    </font>
    <font>
      <u/>
      <sz val="11"/>
      <color rgb="FF000000"/>
      <name val="Arial"/>
      <family val="2"/>
      <charset val="238"/>
    </font>
    <font>
      <vertAlign val="subscript"/>
      <sz val="11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Gray">
        <bgColor theme="0" tint="-4.9989318521683403E-2"/>
      </patternFill>
    </fill>
    <fill>
      <patternFill patternType="solid">
        <fgColor rgb="FF33CC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0" fillId="0" borderId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31" fillId="0" borderId="0"/>
  </cellStyleXfs>
  <cellXfs count="306">
    <xf numFmtId="0" fontId="0" fillId="0" borderId="0" xfId="0"/>
    <xf numFmtId="0" fontId="0" fillId="2" borderId="0" xfId="0" applyFill="1"/>
    <xf numFmtId="0" fontId="0" fillId="6" borderId="0" xfId="0" applyFill="1"/>
    <xf numFmtId="0" fontId="0" fillId="2" borderId="1" xfId="0" applyFill="1" applyBorder="1"/>
    <xf numFmtId="0" fontId="0" fillId="0" borderId="1" xfId="0" applyBorder="1"/>
    <xf numFmtId="0" fontId="0" fillId="2" borderId="4" xfId="0" applyFill="1" applyBorder="1"/>
    <xf numFmtId="0" fontId="0" fillId="0" borderId="1" xfId="0" applyBorder="1" applyAlignment="1">
      <alignment vertical="top"/>
    </xf>
    <xf numFmtId="0" fontId="5" fillId="0" borderId="5" xfId="0" applyFont="1" applyBorder="1" applyAlignment="1">
      <alignment vertical="top" wrapText="1"/>
    </xf>
    <xf numFmtId="3" fontId="0" fillId="0" borderId="1" xfId="0" applyNumberFormat="1" applyBorder="1" applyAlignment="1">
      <alignment horizontal="right" vertical="center"/>
    </xf>
    <xf numFmtId="0" fontId="0" fillId="0" borderId="5" xfId="0" applyBorder="1" applyAlignment="1">
      <alignment vertical="top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4" fontId="0" fillId="4" borderId="1" xfId="0" applyNumberFormat="1" applyFill="1" applyBorder="1"/>
    <xf numFmtId="0" fontId="0" fillId="6" borderId="1" xfId="0" applyFill="1" applyBorder="1"/>
    <xf numFmtId="4" fontId="0" fillId="6" borderId="2" xfId="0" applyNumberFormat="1" applyFill="1" applyBorder="1"/>
    <xf numFmtId="4" fontId="0" fillId="6" borderId="0" xfId="0" applyNumberFormat="1" applyFill="1"/>
    <xf numFmtId="0" fontId="5" fillId="6" borderId="0" xfId="0" applyFont="1" applyFill="1"/>
    <xf numFmtId="0" fontId="0" fillId="2" borderId="0" xfId="0" applyFill="1" applyAlignment="1">
      <alignment horizontal="left"/>
    </xf>
    <xf numFmtId="9" fontId="0" fillId="2" borderId="0" xfId="0" applyNumberFormat="1" applyFill="1"/>
    <xf numFmtId="4" fontId="0" fillId="2" borderId="0" xfId="0" applyNumberFormat="1" applyFill="1"/>
    <xf numFmtId="0" fontId="5" fillId="6" borderId="1" xfId="0" applyFont="1" applyFill="1" applyBorder="1"/>
    <xf numFmtId="4" fontId="0" fillId="6" borderId="1" xfId="0" applyNumberFormat="1" applyFill="1" applyBorder="1"/>
    <xf numFmtId="0" fontId="0" fillId="4" borderId="1" xfId="0" applyFill="1" applyBorder="1"/>
    <xf numFmtId="9" fontId="9" fillId="0" borderId="0" xfId="3" applyFont="1" applyProtection="1"/>
    <xf numFmtId="14" fontId="0" fillId="2" borderId="1" xfId="0" applyNumberFormat="1" applyFill="1" applyBorder="1"/>
    <xf numFmtId="14" fontId="0" fillId="0" borderId="1" xfId="0" applyNumberFormat="1" applyBorder="1" applyProtection="1">
      <protection locked="0"/>
    </xf>
    <xf numFmtId="10" fontId="3" fillId="7" borderId="1" xfId="3" applyNumberFormat="1" applyFont="1" applyFill="1" applyBorder="1" applyProtection="1"/>
    <xf numFmtId="0" fontId="5" fillId="3" borderId="1" xfId="0" applyFont="1" applyFill="1" applyBorder="1"/>
    <xf numFmtId="4" fontId="0" fillId="7" borderId="1" xfId="0" applyNumberFormat="1" applyFill="1" applyBorder="1"/>
    <xf numFmtId="0" fontId="0" fillId="7" borderId="0" xfId="0" applyFill="1"/>
    <xf numFmtId="0" fontId="0" fillId="7" borderId="6" xfId="0" applyFill="1" applyBorder="1"/>
    <xf numFmtId="166" fontId="0" fillId="2" borderId="0" xfId="0" applyNumberFormat="1" applyFill="1"/>
    <xf numFmtId="10" fontId="9" fillId="2" borderId="1" xfId="3" applyNumberFormat="1" applyFont="1" applyFill="1" applyBorder="1" applyProtection="1"/>
    <xf numFmtId="0" fontId="6" fillId="0" borderId="0" xfId="0" applyFont="1"/>
    <xf numFmtId="0" fontId="5" fillId="0" borderId="0" xfId="0" applyFont="1"/>
    <xf numFmtId="10" fontId="0" fillId="7" borderId="1" xfId="0" applyNumberFormat="1" applyFill="1" applyBorder="1"/>
    <xf numFmtId="166" fontId="0" fillId="6" borderId="0" xfId="0" applyNumberFormat="1" applyFill="1"/>
    <xf numFmtId="0" fontId="0" fillId="7" borderId="0" xfId="0" applyFill="1" applyAlignment="1">
      <alignment horizontal="right"/>
    </xf>
    <xf numFmtId="0" fontId="0" fillId="7" borderId="1" xfId="0" applyFill="1" applyBorder="1"/>
    <xf numFmtId="10" fontId="3" fillId="7" borderId="1" xfId="2" applyNumberFormat="1" applyFont="1" applyFill="1" applyBorder="1" applyProtection="1"/>
    <xf numFmtId="0" fontId="1" fillId="0" borderId="0" xfId="0" applyFont="1"/>
    <xf numFmtId="10" fontId="7" fillId="5" borderId="4" xfId="3" applyNumberFormat="1" applyFont="1" applyFill="1" applyBorder="1" applyProtection="1"/>
    <xf numFmtId="10" fontId="7" fillId="5" borderId="7" xfId="3" applyNumberFormat="1" applyFont="1" applyFill="1" applyBorder="1" applyProtection="1"/>
    <xf numFmtId="4" fontId="7" fillId="5" borderId="1" xfId="0" applyNumberFormat="1" applyFont="1" applyFill="1" applyBorder="1"/>
    <xf numFmtId="4" fontId="7" fillId="2" borderId="1" xfId="0" applyNumberFormat="1" applyFont="1" applyFill="1" applyBorder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Border="1" applyAlignment="1" applyProtection="1">
      <alignment horizontal="right" vertical="center"/>
      <protection locked="0"/>
    </xf>
    <xf numFmtId="4" fontId="0" fillId="8" borderId="1" xfId="0" applyNumberFormat="1" applyFill="1" applyBorder="1"/>
    <xf numFmtId="0" fontId="14" fillId="3" borderId="1" xfId="0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5" fillId="5" borderId="1" xfId="0" applyNumberFormat="1" applyFont="1" applyFill="1" applyBorder="1"/>
    <xf numFmtId="4" fontId="15" fillId="2" borderId="1" xfId="0" applyNumberFormat="1" applyFont="1" applyFill="1" applyBorder="1"/>
    <xf numFmtId="4" fontId="0" fillId="7" borderId="1" xfId="0" applyNumberFormat="1" applyFill="1" applyBorder="1" applyAlignment="1">
      <alignment horizontal="right" vertical="center"/>
    </xf>
    <xf numFmtId="4" fontId="0" fillId="2" borderId="1" xfId="0" applyNumberFormat="1" applyFill="1" applyBorder="1" applyAlignment="1">
      <alignment horizontal="right" vertical="center"/>
    </xf>
    <xf numFmtId="10" fontId="3" fillId="0" borderId="1" xfId="3" applyNumberFormat="1" applyFont="1" applyFill="1" applyBorder="1" applyProtection="1">
      <protection locked="0"/>
    </xf>
    <xf numFmtId="0" fontId="0" fillId="0" borderId="0" xfId="0" applyAlignment="1">
      <alignment wrapText="1"/>
    </xf>
    <xf numFmtId="0" fontId="0" fillId="3" borderId="4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4" fontId="0" fillId="0" borderId="0" xfId="0" applyNumberFormat="1"/>
    <xf numFmtId="0" fontId="0" fillId="0" borderId="1" xfId="0" applyBorder="1" applyAlignment="1" applyProtection="1">
      <alignment horizontal="center"/>
      <protection locked="0"/>
    </xf>
    <xf numFmtId="0" fontId="0" fillId="3" borderId="1" xfId="0" applyFill="1" applyBorder="1" applyAlignment="1">
      <alignment vertical="center"/>
    </xf>
    <xf numFmtId="4" fontId="0" fillId="7" borderId="2" xfId="0" applyNumberFormat="1" applyFill="1" applyBorder="1" applyAlignment="1">
      <alignment vertical="center"/>
    </xf>
    <xf numFmtId="0" fontId="0" fillId="7" borderId="0" xfId="0" applyFill="1" applyAlignment="1">
      <alignment vertical="center"/>
    </xf>
    <xf numFmtId="0" fontId="11" fillId="3" borderId="1" xfId="0" applyFont="1" applyFill="1" applyBorder="1" applyAlignment="1">
      <alignment vertical="center"/>
    </xf>
    <xf numFmtId="4" fontId="0" fillId="7" borderId="1" xfId="0" applyNumberFormat="1" applyFill="1" applyBorder="1" applyAlignment="1">
      <alignment vertical="center"/>
    </xf>
    <xf numFmtId="9" fontId="19" fillId="7" borderId="0" xfId="3" applyFont="1" applyFill="1" applyAlignment="1" applyProtection="1">
      <alignment vertical="center"/>
    </xf>
    <xf numFmtId="0" fontId="0" fillId="2" borderId="0" xfId="0" applyFill="1" applyAlignment="1">
      <alignment vertical="center"/>
    </xf>
    <xf numFmtId="10" fontId="9" fillId="9" borderId="1" xfId="2" applyNumberFormat="1" applyFont="1" applyFill="1" applyBorder="1" applyAlignment="1" applyProtection="1">
      <alignment vertical="center"/>
    </xf>
    <xf numFmtId="4" fontId="0" fillId="7" borderId="3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10" fontId="9" fillId="7" borderId="3" xfId="2" applyNumberFormat="1" applyFont="1" applyFill="1" applyBorder="1" applyAlignment="1" applyProtection="1">
      <alignment vertical="center"/>
    </xf>
    <xf numFmtId="0" fontId="0" fillId="3" borderId="4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9" fontId="9" fillId="7" borderId="1" xfId="2" applyFont="1" applyFill="1" applyBorder="1" applyAlignment="1" applyProtection="1">
      <alignment vertical="center"/>
    </xf>
    <xf numFmtId="0" fontId="26" fillId="0" borderId="0" xfId="0" applyFont="1"/>
    <xf numFmtId="0" fontId="26" fillId="0" borderId="0" xfId="4" applyFont="1"/>
    <xf numFmtId="0" fontId="26" fillId="0" borderId="0" xfId="4" applyFont="1" applyAlignment="1">
      <alignment horizontal="left" vertical="top" wrapText="1"/>
    </xf>
    <xf numFmtId="10" fontId="7" fillId="10" borderId="0" xfId="3" applyNumberFormat="1" applyFont="1" applyFill="1" applyBorder="1" applyAlignment="1" applyProtection="1">
      <alignment horizontal="center" vertical="center"/>
    </xf>
    <xf numFmtId="9" fontId="0" fillId="10" borderId="0" xfId="2" applyFont="1" applyFill="1" applyProtection="1"/>
    <xf numFmtId="9" fontId="9" fillId="10" borderId="0" xfId="2" applyFont="1" applyFill="1" applyAlignment="1" applyProtection="1">
      <alignment horizontal="left"/>
    </xf>
    <xf numFmtId="10" fontId="5" fillId="10" borderId="1" xfId="3" applyNumberFormat="1" applyFont="1" applyFill="1" applyBorder="1" applyProtection="1"/>
    <xf numFmtId="10" fontId="0" fillId="10" borderId="1" xfId="3" applyNumberFormat="1" applyFont="1" applyFill="1" applyBorder="1" applyProtection="1"/>
    <xf numFmtId="9" fontId="5" fillId="10" borderId="0" xfId="3" applyFont="1" applyFill="1" applyProtection="1"/>
    <xf numFmtId="9" fontId="0" fillId="10" borderId="0" xfId="3" applyFont="1" applyFill="1" applyProtection="1"/>
    <xf numFmtId="9" fontId="7" fillId="10" borderId="1" xfId="2" applyFont="1" applyFill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center" vertical="center" wrapText="1"/>
      <protection locked="0"/>
    </xf>
    <xf numFmtId="4" fontId="5" fillId="10" borderId="8" xfId="0" applyNumberFormat="1" applyFont="1" applyFill="1" applyBorder="1" applyAlignment="1">
      <alignment horizontal="right" vertical="center" wrapText="1" indent="1"/>
    </xf>
    <xf numFmtId="9" fontId="9" fillId="10" borderId="0" xfId="2" applyFont="1" applyFill="1" applyBorder="1" applyAlignment="1" applyProtection="1">
      <alignment horizontal="left"/>
    </xf>
    <xf numFmtId="9" fontId="0" fillId="10" borderId="0" xfId="2" applyFont="1" applyFill="1" applyBorder="1" applyAlignment="1" applyProtection="1">
      <alignment horizontal="left"/>
    </xf>
    <xf numFmtId="4" fontId="5" fillId="0" borderId="8" xfId="0" applyNumberFormat="1" applyFont="1" applyBorder="1" applyAlignment="1" applyProtection="1">
      <alignment horizontal="right" vertical="center" wrapText="1" indent="1"/>
      <protection locked="0"/>
    </xf>
    <xf numFmtId="0" fontId="5" fillId="0" borderId="1" xfId="0" applyFont="1" applyBorder="1" applyAlignment="1" applyProtection="1">
      <alignment horizontal="right" vertical="center" wrapText="1" indent="1"/>
      <protection locked="0"/>
    </xf>
    <xf numFmtId="0" fontId="22" fillId="10" borderId="0" xfId="0" applyFont="1" applyFill="1" applyAlignment="1">
      <alignment horizontal="left" vertical="center"/>
    </xf>
    <xf numFmtId="0" fontId="23" fillId="10" borderId="0" xfId="0" applyFont="1" applyFill="1"/>
    <xf numFmtId="0" fontId="0" fillId="10" borderId="0" xfId="0" applyFill="1"/>
    <xf numFmtId="0" fontId="7" fillId="10" borderId="0" xfId="0" applyFont="1" applyFill="1" applyAlignment="1">
      <alignment horizontal="right" vertical="center" indent="1"/>
    </xf>
    <xf numFmtId="0" fontId="7" fillId="10" borderId="0" xfId="0" applyFont="1" applyFill="1" applyAlignment="1">
      <alignment horizontal="left" vertical="center"/>
    </xf>
    <xf numFmtId="0" fontId="7" fillId="10" borderId="0" xfId="0" applyFont="1" applyFill="1" applyAlignment="1">
      <alignment horizontal="right" vertical="center" indent="2"/>
    </xf>
    <xf numFmtId="0" fontId="5" fillId="10" borderId="0" xfId="0" applyFont="1" applyFill="1" applyAlignment="1">
      <alignment horizontal="left" vertical="center"/>
    </xf>
    <xf numFmtId="0" fontId="7" fillId="10" borderId="0" xfId="0" applyFont="1" applyFill="1" applyAlignment="1">
      <alignment horizontal="left" vertical="center" wrapText="1"/>
    </xf>
    <xf numFmtId="0" fontId="23" fillId="10" borderId="1" xfId="0" applyFont="1" applyFill="1" applyBorder="1" applyAlignment="1">
      <alignment horizontal="center" vertical="center"/>
    </xf>
    <xf numFmtId="0" fontId="24" fillId="10" borderId="0" xfId="0" applyFont="1" applyFill="1"/>
    <xf numFmtId="0" fontId="7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4" fontId="5" fillId="11" borderId="1" xfId="0" applyNumberFormat="1" applyFont="1" applyFill="1" applyBorder="1" applyAlignment="1">
      <alignment horizontal="right" vertical="center" wrapText="1"/>
    </xf>
    <xf numFmtId="4" fontId="7" fillId="10" borderId="1" xfId="0" applyNumberFormat="1" applyFont="1" applyFill="1" applyBorder="1" applyAlignment="1">
      <alignment horizontal="right" vertical="center" indent="1"/>
    </xf>
    <xf numFmtId="0" fontId="7" fillId="10" borderId="2" xfId="0" applyFont="1" applyFill="1" applyBorder="1" applyAlignment="1">
      <alignment horizontal="center" vertical="center"/>
    </xf>
    <xf numFmtId="10" fontId="37" fillId="10" borderId="8" xfId="2" applyNumberFormat="1" applyFont="1" applyFill="1" applyBorder="1" applyAlignment="1" applyProtection="1">
      <alignment horizontal="right" vertical="center" indent="1"/>
    </xf>
    <xf numFmtId="10" fontId="42" fillId="10" borderId="1" xfId="2" applyNumberFormat="1" applyFont="1" applyFill="1" applyBorder="1" applyAlignment="1" applyProtection="1">
      <alignment horizontal="right" vertical="center" indent="1"/>
    </xf>
    <xf numFmtId="0" fontId="5" fillId="10" borderId="2" xfId="0" applyFont="1" applyFill="1" applyBorder="1" applyAlignment="1">
      <alignment horizontal="center" vertical="center" wrapText="1"/>
    </xf>
    <xf numFmtId="4" fontId="5" fillId="10" borderId="1" xfId="0" applyNumberFormat="1" applyFont="1" applyFill="1" applyBorder="1" applyAlignment="1">
      <alignment horizontal="right" vertical="center" wrapText="1" indent="1"/>
    </xf>
    <xf numFmtId="0" fontId="0" fillId="10" borderId="0" xfId="0" applyFill="1" applyAlignment="1">
      <alignment wrapText="1"/>
    </xf>
    <xf numFmtId="0" fontId="5" fillId="10" borderId="1" xfId="0" applyFont="1" applyFill="1" applyBorder="1" applyAlignment="1">
      <alignment horizontal="center" vertical="center" wrapText="1"/>
    </xf>
    <xf numFmtId="2" fontId="0" fillId="10" borderId="0" xfId="0" applyNumberFormat="1" applyFill="1" applyAlignment="1">
      <alignment horizontal="center" wrapText="1"/>
    </xf>
    <xf numFmtId="4" fontId="7" fillId="10" borderId="8" xfId="0" applyNumberFormat="1" applyFont="1" applyFill="1" applyBorder="1" applyAlignment="1">
      <alignment horizontal="right" vertical="center" wrapText="1" indent="1"/>
    </xf>
    <xf numFmtId="3" fontId="0" fillId="10" borderId="0" xfId="0" applyNumberFormat="1" applyFill="1" applyAlignment="1">
      <alignment vertical="center" wrapText="1"/>
    </xf>
    <xf numFmtId="3" fontId="0" fillId="10" borderId="0" xfId="0" applyNumberFormat="1" applyFill="1" applyAlignment="1">
      <alignment horizontal="center" wrapText="1"/>
    </xf>
    <xf numFmtId="4" fontId="7" fillId="10" borderId="1" xfId="0" applyNumberFormat="1" applyFont="1" applyFill="1" applyBorder="1" applyAlignment="1">
      <alignment horizontal="right" vertical="center" wrapText="1" indent="1"/>
    </xf>
    <xf numFmtId="3" fontId="0" fillId="10" borderId="0" xfId="0" applyNumberFormat="1" applyFill="1" applyAlignment="1">
      <alignment horizontal="center"/>
    </xf>
    <xf numFmtId="0" fontId="2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 wrapText="1"/>
    </xf>
    <xf numFmtId="0" fontId="20" fillId="10" borderId="0" xfId="0" applyFont="1" applyFill="1" applyAlignment="1">
      <alignment horizontal="center" vertical="center" wrapText="1"/>
    </xf>
    <xf numFmtId="0" fontId="38" fillId="10" borderId="0" xfId="0" applyFont="1" applyFill="1" applyAlignment="1">
      <alignment horizontal="center"/>
    </xf>
    <xf numFmtId="0" fontId="12" fillId="10" borderId="0" xfId="0" applyFont="1" applyFill="1" applyAlignment="1">
      <alignment horizontal="center" vertical="center"/>
    </xf>
    <xf numFmtId="0" fontId="12" fillId="10" borderId="0" xfId="0" applyFont="1" applyFill="1" applyAlignment="1">
      <alignment vertical="center" wrapText="1"/>
    </xf>
    <xf numFmtId="3" fontId="12" fillId="10" borderId="0" xfId="0" applyNumberFormat="1" applyFont="1" applyFill="1" applyAlignment="1">
      <alignment horizontal="right" vertical="center"/>
    </xf>
    <xf numFmtId="0" fontId="13" fillId="10" borderId="0" xfId="0" applyFont="1" applyFill="1"/>
    <xf numFmtId="0" fontId="2" fillId="10" borderId="0" xfId="0" applyFont="1" applyFill="1" applyAlignment="1">
      <alignment horizontal="left" vertical="center" wrapText="1"/>
    </xf>
    <xf numFmtId="0" fontId="30" fillId="10" borderId="0" xfId="0" applyFont="1" applyFill="1" applyAlignment="1">
      <alignment vertical="center" wrapText="1"/>
    </xf>
    <xf numFmtId="0" fontId="2" fillId="10" borderId="0" xfId="0" applyFont="1" applyFill="1" applyAlignment="1">
      <alignment vertical="top" wrapText="1"/>
    </xf>
    <xf numFmtId="0" fontId="13" fillId="10" borderId="0" xfId="0" applyFont="1" applyFill="1" applyAlignment="1">
      <alignment vertical="center" wrapText="1"/>
    </xf>
    <xf numFmtId="0" fontId="11" fillId="10" borderId="0" xfId="0" applyFont="1" applyFill="1"/>
    <xf numFmtId="0" fontId="16" fillId="10" borderId="0" xfId="0" applyFont="1" applyFill="1"/>
    <xf numFmtId="3" fontId="0" fillId="10" borderId="0" xfId="0" applyNumberFormat="1" applyFill="1"/>
    <xf numFmtId="165" fontId="0" fillId="10" borderId="0" xfId="0" applyNumberFormat="1" applyFill="1"/>
    <xf numFmtId="0" fontId="0" fillId="10" borderId="0" xfId="0" applyFill="1" applyAlignment="1">
      <alignment horizontal="right"/>
    </xf>
    <xf numFmtId="3" fontId="0" fillId="10" borderId="0" xfId="0" applyNumberFormat="1" applyFill="1" applyAlignment="1">
      <alignment horizontal="right"/>
    </xf>
    <xf numFmtId="0" fontId="0" fillId="10" borderId="0" xfId="0" applyFill="1" applyAlignment="1">
      <alignment horizontal="center"/>
    </xf>
    <xf numFmtId="0" fontId="17" fillId="10" borderId="0" xfId="1" applyFont="1" applyFill="1"/>
    <xf numFmtId="0" fontId="17" fillId="10" borderId="0" xfId="1" applyFont="1" applyFill="1" applyAlignment="1">
      <alignment horizontal="center"/>
    </xf>
    <xf numFmtId="2" fontId="0" fillId="10" borderId="0" xfId="0" applyNumberFormat="1" applyFill="1" applyAlignment="1">
      <alignment horizontal="center"/>
    </xf>
    <xf numFmtId="1" fontId="0" fillId="10" borderId="0" xfId="0" applyNumberFormat="1" applyFill="1" applyAlignment="1">
      <alignment horizontal="center"/>
    </xf>
    <xf numFmtId="1" fontId="0" fillId="10" borderId="0" xfId="0" applyNumberFormat="1" applyFill="1"/>
    <xf numFmtId="4" fontId="0" fillId="10" borderId="0" xfId="0" applyNumberFormat="1" applyFill="1"/>
    <xf numFmtId="0" fontId="18" fillId="10" borderId="0" xfId="0" applyFont="1" applyFill="1" applyAlignment="1">
      <alignment horizontal="center"/>
    </xf>
    <xf numFmtId="2" fontId="18" fillId="10" borderId="0" xfId="0" applyNumberFormat="1" applyFont="1" applyFill="1" applyAlignment="1">
      <alignment horizontal="center"/>
    </xf>
    <xf numFmtId="1" fontId="18" fillId="10" borderId="0" xfId="0" applyNumberFormat="1" applyFont="1" applyFill="1" applyAlignment="1">
      <alignment horizontal="center"/>
    </xf>
    <xf numFmtId="2" fontId="0" fillId="10" borderId="0" xfId="0" applyNumberFormat="1" applyFill="1"/>
    <xf numFmtId="0" fontId="24" fillId="0" borderId="8" xfId="0" applyFont="1" applyBorder="1" applyAlignment="1" applyProtection="1">
      <alignment horizontal="center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 indent="1"/>
      <protection locked="0"/>
    </xf>
    <xf numFmtId="0" fontId="31" fillId="0" borderId="0" xfId="6" applyProtection="1">
      <protection locked="0"/>
    </xf>
    <xf numFmtId="4" fontId="31" fillId="0" borderId="1" xfId="6" applyNumberFormat="1" applyBorder="1" applyAlignment="1" applyProtection="1">
      <alignment horizontal="right" vertical="center"/>
      <protection locked="0"/>
    </xf>
    <xf numFmtId="14" fontId="31" fillId="0" borderId="1" xfId="6" applyNumberFormat="1" applyBorder="1" applyProtection="1">
      <protection locked="0"/>
    </xf>
    <xf numFmtId="0" fontId="31" fillId="10" borderId="0" xfId="6" applyFill="1"/>
    <xf numFmtId="0" fontId="31" fillId="10" borderId="1" xfId="6" applyFill="1" applyBorder="1" applyAlignment="1">
      <alignment horizontal="center"/>
    </xf>
    <xf numFmtId="0" fontId="31" fillId="10" borderId="1" xfId="6" applyFill="1" applyBorder="1"/>
    <xf numFmtId="4" fontId="31" fillId="10" borderId="1" xfId="6" applyNumberFormat="1" applyFill="1" applyBorder="1"/>
    <xf numFmtId="14" fontId="31" fillId="10" borderId="1" xfId="6" applyNumberFormat="1" applyFill="1" applyBorder="1"/>
    <xf numFmtId="0" fontId="31" fillId="10" borderId="0" xfId="6" applyFill="1" applyAlignment="1">
      <alignment horizontal="left"/>
    </xf>
    <xf numFmtId="9" fontId="31" fillId="10" borderId="0" xfId="6" applyNumberFormat="1" applyFill="1"/>
    <xf numFmtId="4" fontId="31" fillId="10" borderId="0" xfId="6" applyNumberFormat="1" applyFill="1"/>
    <xf numFmtId="0" fontId="31" fillId="10" borderId="1" xfId="6" applyFill="1" applyBorder="1" applyAlignment="1">
      <alignment horizontal="left"/>
    </xf>
    <xf numFmtId="0" fontId="31" fillId="10" borderId="2" xfId="6" applyFill="1" applyBorder="1" applyAlignment="1">
      <alignment horizontal="left"/>
    </xf>
    <xf numFmtId="0" fontId="31" fillId="10" borderId="2" xfId="6" applyFill="1" applyBorder="1"/>
    <xf numFmtId="0" fontId="7" fillId="10" borderId="0" xfId="6" applyFont="1" applyFill="1"/>
    <xf numFmtId="166" fontId="31" fillId="10" borderId="0" xfId="6" applyNumberFormat="1" applyFill="1"/>
    <xf numFmtId="0" fontId="6" fillId="10" borderId="0" xfId="6" applyFont="1" applyFill="1"/>
    <xf numFmtId="0" fontId="31" fillId="10" borderId="0" xfId="6" applyFill="1" applyAlignment="1">
      <alignment vertical="center"/>
    </xf>
    <xf numFmtId="0" fontId="5" fillId="10" borderId="0" xfId="6" applyFont="1" applyFill="1"/>
    <xf numFmtId="10" fontId="31" fillId="10" borderId="1" xfId="6" applyNumberFormat="1" applyFill="1" applyBorder="1"/>
    <xf numFmtId="0" fontId="5" fillId="10" borderId="0" xfId="6" applyFont="1" applyFill="1" applyAlignment="1">
      <alignment horizontal="center" vertical="center"/>
    </xf>
    <xf numFmtId="9" fontId="0" fillId="10" borderId="1" xfId="3" applyFont="1" applyFill="1" applyBorder="1" applyProtection="1"/>
    <xf numFmtId="4" fontId="31" fillId="10" borderId="1" xfId="6" applyNumberFormat="1" applyFill="1" applyBorder="1" applyAlignment="1">
      <alignment horizontal="right" vertical="center"/>
    </xf>
    <xf numFmtId="0" fontId="31" fillId="10" borderId="3" xfId="6" applyFill="1" applyBorder="1"/>
    <xf numFmtId="4" fontId="31" fillId="10" borderId="3" xfId="6" applyNumberFormat="1" applyFill="1" applyBorder="1"/>
    <xf numFmtId="166" fontId="0" fillId="10" borderId="1" xfId="2" applyNumberFormat="1" applyFont="1" applyFill="1" applyBorder="1" applyProtection="1"/>
    <xf numFmtId="166" fontId="0" fillId="10" borderId="5" xfId="2" applyNumberFormat="1" applyFont="1" applyFill="1" applyBorder="1" applyProtection="1"/>
    <xf numFmtId="0" fontId="7" fillId="10" borderId="0" xfId="6" applyFont="1" applyFill="1" applyAlignment="1">
      <alignment vertical="top"/>
    </xf>
    <xf numFmtId="166" fontId="0" fillId="10" borderId="14" xfId="2" applyNumberFormat="1" applyFont="1" applyFill="1" applyBorder="1" applyProtection="1"/>
    <xf numFmtId="0" fontId="31" fillId="10" borderId="17" xfId="6" applyFill="1" applyBorder="1" applyAlignment="1">
      <alignment horizontal="left"/>
    </xf>
    <xf numFmtId="0" fontId="6" fillId="10" borderId="1" xfId="6" applyFont="1" applyFill="1" applyBorder="1"/>
    <xf numFmtId="0" fontId="31" fillId="10" borderId="14" xfId="6" applyFill="1" applyBorder="1" applyAlignment="1">
      <alignment horizontal="left"/>
    </xf>
    <xf numFmtId="0" fontId="31" fillId="10" borderId="13" xfId="6" applyFill="1" applyBorder="1" applyAlignment="1">
      <alignment horizontal="left"/>
    </xf>
    <xf numFmtId="0" fontId="5" fillId="11" borderId="1" xfId="6" applyFont="1" applyFill="1" applyBorder="1" applyAlignment="1">
      <alignment horizontal="center" vertical="center" wrapText="1"/>
    </xf>
    <xf numFmtId="4" fontId="5" fillId="10" borderId="1" xfId="6" applyNumberFormat="1" applyFont="1" applyFill="1" applyBorder="1" applyAlignment="1">
      <alignment horizontal="right" vertical="center"/>
    </xf>
    <xf numFmtId="0" fontId="24" fillId="10" borderId="0" xfId="6" applyFont="1" applyFill="1"/>
    <xf numFmtId="166" fontId="0" fillId="10" borderId="0" xfId="2" applyNumberFormat="1" applyFont="1" applyFill="1" applyBorder="1" applyProtection="1"/>
    <xf numFmtId="166" fontId="23" fillId="10" borderId="0" xfId="2" applyNumberFormat="1" applyFont="1" applyFill="1" applyBorder="1" applyProtection="1"/>
    <xf numFmtId="0" fontId="5" fillId="10" borderId="0" xfId="6" applyFont="1" applyFill="1" applyAlignment="1">
      <alignment horizontal="left"/>
    </xf>
    <xf numFmtId="0" fontId="41" fillId="10" borderId="0" xfId="6" applyFont="1" applyFill="1"/>
    <xf numFmtId="4" fontId="5" fillId="10" borderId="0" xfId="6" applyNumberFormat="1" applyFont="1" applyFill="1"/>
    <xf numFmtId="4" fontId="7" fillId="10" borderId="1" xfId="6" applyNumberFormat="1" applyFont="1" applyFill="1" applyBorder="1"/>
    <xf numFmtId="4" fontId="32" fillId="10" borderId="0" xfId="6" applyNumberFormat="1" applyFont="1" applyFill="1"/>
    <xf numFmtId="0" fontId="32" fillId="10" borderId="0" xfId="6" applyFont="1" applyFill="1" applyAlignment="1">
      <alignment vertical="center" wrapText="1"/>
    </xf>
    <xf numFmtId="0" fontId="5" fillId="10" borderId="1" xfId="6" applyFont="1" applyFill="1" applyBorder="1" applyAlignment="1">
      <alignment horizontal="center"/>
    </xf>
    <xf numFmtId="0" fontId="31" fillId="10" borderId="0" xfId="6" applyFill="1" applyAlignment="1">
      <alignment horizontal="center"/>
    </xf>
    <xf numFmtId="0" fontId="31" fillId="10" borderId="1" xfId="6" applyFill="1" applyBorder="1" applyAlignment="1">
      <alignment horizontal="center" vertical="center"/>
    </xf>
    <xf numFmtId="4" fontId="31" fillId="10" borderId="0" xfId="6" applyNumberFormat="1" applyFill="1" applyAlignment="1">
      <alignment horizontal="right" vertical="center"/>
    </xf>
    <xf numFmtId="0" fontId="5" fillId="10" borderId="0" xfId="6" applyFont="1" applyFill="1" applyAlignment="1">
      <alignment vertical="top" wrapText="1"/>
    </xf>
    <xf numFmtId="0" fontId="20" fillId="10" borderId="0" xfId="0" applyFont="1" applyFill="1" applyAlignment="1">
      <alignment horizontal="center" vertical="top" wrapText="1"/>
    </xf>
    <xf numFmtId="4" fontId="7" fillId="0" borderId="8" xfId="0" applyNumberFormat="1" applyFont="1" applyBorder="1" applyAlignment="1" applyProtection="1">
      <alignment horizontal="right" vertical="center" wrapText="1" inden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23" fillId="10" borderId="1" xfId="0" applyFont="1" applyFill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7" fillId="10" borderId="0" xfId="0" applyFont="1" applyFill="1"/>
    <xf numFmtId="10" fontId="23" fillId="0" borderId="1" xfId="3" applyNumberFormat="1" applyFont="1" applyFill="1" applyBorder="1" applyProtection="1">
      <protection locked="0"/>
    </xf>
    <xf numFmtId="4" fontId="31" fillId="10" borderId="1" xfId="6" applyNumberFormat="1" applyFill="1" applyBorder="1" applyAlignment="1">
      <alignment horizontal="right" vertical="center"/>
    </xf>
    <xf numFmtId="0" fontId="7" fillId="10" borderId="0" xfId="0" applyFont="1" applyFill="1" applyAlignment="1">
      <alignment horizontal="right" vertical="center" indent="1"/>
    </xf>
    <xf numFmtId="0" fontId="5" fillId="0" borderId="4" xfId="0" applyFont="1" applyBorder="1" applyAlignment="1" applyProtection="1">
      <alignment horizontal="left" vertical="top"/>
      <protection locked="0"/>
    </xf>
    <xf numFmtId="0" fontId="5" fillId="0" borderId="9" xfId="0" applyFont="1" applyBorder="1" applyAlignment="1" applyProtection="1">
      <alignment horizontal="left" vertical="top"/>
      <protection locked="0"/>
    </xf>
    <xf numFmtId="0" fontId="5" fillId="0" borderId="8" xfId="0" applyFont="1" applyBorder="1" applyAlignment="1" applyProtection="1">
      <alignment horizontal="left" vertical="top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8" fillId="10" borderId="1" xfId="6" applyFont="1" applyFill="1" applyBorder="1" applyAlignment="1">
      <alignment horizontal="center" vertical="center"/>
    </xf>
    <xf numFmtId="0" fontId="31" fillId="10" borderId="1" xfId="6" applyFill="1" applyBorder="1" applyAlignment="1">
      <alignment horizontal="left"/>
    </xf>
    <xf numFmtId="0" fontId="5" fillId="10" borderId="1" xfId="6" applyFont="1" applyFill="1" applyBorder="1" applyAlignment="1">
      <alignment horizontal="left"/>
    </xf>
    <xf numFmtId="0" fontId="31" fillId="10" borderId="4" xfId="6" applyFill="1" applyBorder="1" applyAlignment="1">
      <alignment horizontal="left"/>
    </xf>
    <xf numFmtId="0" fontId="31" fillId="10" borderId="8" xfId="6" applyFill="1" applyBorder="1" applyAlignment="1">
      <alignment horizontal="left"/>
    </xf>
    <xf numFmtId="0" fontId="31" fillId="10" borderId="0" xfId="6" applyFill="1" applyAlignment="1">
      <alignment horizontal="center"/>
    </xf>
    <xf numFmtId="0" fontId="31" fillId="10" borderId="9" xfId="6" applyFill="1" applyBorder="1" applyAlignment="1">
      <alignment horizontal="left"/>
    </xf>
    <xf numFmtId="0" fontId="5" fillId="10" borderId="1" xfId="6" applyFont="1" applyFill="1" applyBorder="1" applyAlignment="1">
      <alignment horizontal="center" vertical="center" wrapText="1"/>
    </xf>
    <xf numFmtId="0" fontId="5" fillId="10" borderId="1" xfId="6" applyFont="1" applyFill="1" applyBorder="1" applyAlignment="1">
      <alignment horizontal="left" vertical="center"/>
    </xf>
    <xf numFmtId="0" fontId="31" fillId="10" borderId="1" xfId="6" applyFill="1" applyBorder="1" applyAlignment="1">
      <alignment horizontal="left" vertical="center"/>
    </xf>
    <xf numFmtId="4" fontId="5" fillId="10" borderId="1" xfId="6" applyNumberFormat="1" applyFont="1" applyFill="1" applyBorder="1" applyAlignment="1">
      <alignment horizontal="left" vertical="center"/>
    </xf>
    <xf numFmtId="0" fontId="7" fillId="10" borderId="14" xfId="6" applyFont="1" applyFill="1" applyBorder="1" applyAlignment="1">
      <alignment horizontal="right"/>
    </xf>
    <xf numFmtId="4" fontId="6" fillId="10" borderId="2" xfId="6" applyNumberFormat="1" applyFont="1" applyFill="1" applyBorder="1" applyAlignment="1">
      <alignment horizontal="right" vertical="center" wrapText="1"/>
    </xf>
    <xf numFmtId="4" fontId="6" fillId="10" borderId="15" xfId="6" applyNumberFormat="1" applyFont="1" applyFill="1" applyBorder="1" applyAlignment="1">
      <alignment horizontal="right" vertical="center" wrapText="1"/>
    </xf>
    <xf numFmtId="4" fontId="6" fillId="10" borderId="3" xfId="6" applyNumberFormat="1" applyFont="1" applyFill="1" applyBorder="1" applyAlignment="1">
      <alignment horizontal="right" vertical="center" wrapText="1"/>
    </xf>
    <xf numFmtId="0" fontId="31" fillId="10" borderId="0" xfId="6" applyFill="1" applyAlignment="1">
      <alignment horizontal="left"/>
    </xf>
    <xf numFmtId="9" fontId="0" fillId="10" borderId="0" xfId="3" applyFont="1" applyFill="1" applyBorder="1" applyAlignment="1" applyProtection="1">
      <alignment horizontal="left"/>
    </xf>
    <xf numFmtId="4" fontId="31" fillId="10" borderId="0" xfId="6" applyNumberFormat="1" applyFill="1" applyAlignment="1">
      <alignment horizontal="center" vertical="center"/>
    </xf>
    <xf numFmtId="0" fontId="5" fillId="10" borderId="0" xfId="6" applyFont="1" applyFill="1" applyAlignment="1">
      <alignment horizontal="center" vertical="center"/>
    </xf>
    <xf numFmtId="0" fontId="31" fillId="10" borderId="0" xfId="6" applyFill="1" applyAlignment="1">
      <alignment horizontal="center" vertical="center"/>
    </xf>
    <xf numFmtId="0" fontId="5" fillId="10" borderId="0" xfId="6" applyFont="1" applyFill="1" applyAlignment="1">
      <alignment horizontal="center" vertical="center" wrapText="1"/>
    </xf>
    <xf numFmtId="0" fontId="32" fillId="10" borderId="0" xfId="6" applyFont="1" applyFill="1" applyAlignment="1">
      <alignment horizontal="left" vertical="center" wrapText="1"/>
    </xf>
    <xf numFmtId="0" fontId="7" fillId="12" borderId="0" xfId="0" applyFont="1" applyFill="1" applyAlignment="1">
      <alignment horizontal="left" vertical="center" wrapText="1"/>
    </xf>
    <xf numFmtId="4" fontId="31" fillId="10" borderId="0" xfId="6" applyNumberFormat="1" applyFill="1" applyAlignment="1">
      <alignment horizontal="center"/>
    </xf>
    <xf numFmtId="0" fontId="34" fillId="10" borderId="4" xfId="0" applyFont="1" applyFill="1" applyBorder="1" applyAlignment="1">
      <alignment horizontal="left" vertical="center" wrapText="1"/>
    </xf>
    <xf numFmtId="0" fontId="34" fillId="10" borderId="9" xfId="0" applyFont="1" applyFill="1" applyBorder="1" applyAlignment="1">
      <alignment horizontal="left" vertical="center" wrapText="1"/>
    </xf>
    <xf numFmtId="0" fontId="34" fillId="10" borderId="8" xfId="0" applyFont="1" applyFill="1" applyBorder="1" applyAlignment="1">
      <alignment horizontal="left" vertical="center" wrapText="1"/>
    </xf>
    <xf numFmtId="0" fontId="7" fillId="10" borderId="4" xfId="0" applyFont="1" applyFill="1" applyBorder="1" applyAlignment="1">
      <alignment horizontal="left" vertical="center" wrapText="1"/>
    </xf>
    <xf numFmtId="0" fontId="7" fillId="10" borderId="9" xfId="0" applyFont="1" applyFill="1" applyBorder="1" applyAlignment="1">
      <alignment horizontal="left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5" fillId="10" borderId="4" xfId="0" applyFont="1" applyFill="1" applyBorder="1" applyAlignment="1">
      <alignment horizontal="left" vertical="center" wrapText="1"/>
    </xf>
    <xf numFmtId="0" fontId="5" fillId="10" borderId="9" xfId="0" applyFont="1" applyFill="1" applyBorder="1" applyAlignment="1">
      <alignment horizontal="left" vertical="center" wrapText="1"/>
    </xf>
    <xf numFmtId="0" fontId="5" fillId="10" borderId="8" xfId="0" applyFont="1" applyFill="1" applyBorder="1" applyAlignment="1">
      <alignment horizontal="left" vertical="center" wrapText="1"/>
    </xf>
    <xf numFmtId="0" fontId="20" fillId="10" borderId="0" xfId="0" applyFont="1" applyFill="1" applyAlignment="1">
      <alignment horizontal="left" vertical="center" wrapText="1"/>
    </xf>
    <xf numFmtId="0" fontId="7" fillId="10" borderId="1" xfId="0" applyFont="1" applyFill="1" applyBorder="1" applyAlignment="1">
      <alignment horizontal="left" vertical="center" wrapText="1"/>
    </xf>
    <xf numFmtId="4" fontId="7" fillId="10" borderId="1" xfId="0" applyNumberFormat="1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left" vertical="top" wrapText="1"/>
    </xf>
    <xf numFmtId="0" fontId="30" fillId="10" borderId="14" xfId="0" applyFont="1" applyFill="1" applyBorder="1" applyAlignment="1">
      <alignment horizontal="left" vertical="center" wrapText="1"/>
    </xf>
    <xf numFmtId="0" fontId="2" fillId="10" borderId="0" xfId="0" applyFont="1" applyFill="1" applyAlignment="1">
      <alignment horizontal="left" vertical="center" wrapText="1"/>
    </xf>
    <xf numFmtId="0" fontId="5" fillId="10" borderId="1" xfId="0" applyFont="1" applyFill="1" applyBorder="1" applyAlignment="1">
      <alignment horizontal="left" vertical="center" wrapText="1"/>
    </xf>
    <xf numFmtId="4" fontId="7" fillId="10" borderId="4" xfId="0" applyNumberFormat="1" applyFont="1" applyFill="1" applyBorder="1" applyAlignment="1">
      <alignment horizontal="center" vertical="center" wrapText="1"/>
    </xf>
    <xf numFmtId="4" fontId="7" fillId="10" borderId="9" xfId="0" applyNumberFormat="1" applyFont="1" applyFill="1" applyBorder="1" applyAlignment="1">
      <alignment horizontal="center" vertical="center" wrapText="1"/>
    </xf>
    <xf numFmtId="4" fontId="7" fillId="10" borderId="8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 applyProtection="1">
      <alignment horizontal="center" vertical="center" wrapText="1"/>
      <protection locked="0"/>
    </xf>
    <xf numFmtId="0" fontId="37" fillId="10" borderId="4" xfId="0" applyFont="1" applyFill="1" applyBorder="1" applyAlignment="1">
      <alignment horizontal="left" vertical="center" wrapText="1"/>
    </xf>
    <xf numFmtId="0" fontId="37" fillId="10" borderId="9" xfId="0" applyFont="1" applyFill="1" applyBorder="1" applyAlignment="1">
      <alignment horizontal="left" vertical="center" wrapText="1"/>
    </xf>
    <xf numFmtId="0" fontId="37" fillId="10" borderId="8" xfId="0" applyFont="1" applyFill="1" applyBorder="1" applyAlignment="1">
      <alignment horizontal="left" vertical="center" wrapText="1"/>
    </xf>
    <xf numFmtId="0" fontId="35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4" fontId="5" fillId="10" borderId="4" xfId="0" applyNumberFormat="1" applyFont="1" applyFill="1" applyBorder="1" applyAlignment="1">
      <alignment horizontal="center" vertical="center" wrapText="1"/>
    </xf>
    <xf numFmtId="4" fontId="5" fillId="10" borderId="9" xfId="0" applyNumberFormat="1" applyFont="1" applyFill="1" applyBorder="1" applyAlignment="1">
      <alignment horizontal="center" vertical="center" wrapText="1"/>
    </xf>
    <xf numFmtId="4" fontId="5" fillId="10" borderId="8" xfId="0" applyNumberFormat="1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left" vertical="center"/>
    </xf>
    <xf numFmtId="0" fontId="5" fillId="10" borderId="9" xfId="0" applyFont="1" applyFill="1" applyBorder="1" applyAlignment="1">
      <alignment horizontal="left" vertical="center"/>
    </xf>
    <xf numFmtId="0" fontId="5" fillId="10" borderId="8" xfId="0" applyFont="1" applyFill="1" applyBorder="1" applyAlignment="1">
      <alignment horizontal="left" vertical="center"/>
    </xf>
    <xf numFmtId="0" fontId="5" fillId="10" borderId="1" xfId="0" applyFont="1" applyFill="1" applyBorder="1" applyAlignment="1">
      <alignment horizontal="left" vertical="top" wrapText="1"/>
    </xf>
    <xf numFmtId="0" fontId="23" fillId="10" borderId="4" xfId="0" applyFont="1" applyFill="1" applyBorder="1" applyAlignment="1">
      <alignment horizontal="left" vertical="center" wrapText="1"/>
    </xf>
    <xf numFmtId="0" fontId="23" fillId="10" borderId="9" xfId="0" applyFont="1" applyFill="1" applyBorder="1" applyAlignment="1">
      <alignment horizontal="left" vertical="center" wrapText="1"/>
    </xf>
    <xf numFmtId="0" fontId="23" fillId="10" borderId="8" xfId="0" applyFont="1" applyFill="1" applyBorder="1" applyAlignment="1">
      <alignment horizontal="left" vertical="center" wrapText="1"/>
    </xf>
    <xf numFmtId="0" fontId="20" fillId="10" borderId="16" xfId="0" applyFont="1" applyFill="1" applyBorder="1" applyAlignment="1">
      <alignment horizontal="left" wrapText="1"/>
    </xf>
    <xf numFmtId="0" fontId="20" fillId="10" borderId="0" xfId="0" applyFont="1" applyFill="1" applyAlignment="1">
      <alignment horizontal="left" wrapText="1"/>
    </xf>
    <xf numFmtId="0" fontId="20" fillId="10" borderId="16" xfId="0" applyFont="1" applyFill="1" applyBorder="1" applyAlignment="1">
      <alignment horizontal="left" vertical="center" wrapText="1"/>
    </xf>
    <xf numFmtId="4" fontId="5" fillId="11" borderId="2" xfId="0" applyNumberFormat="1" applyFont="1" applyFill="1" applyBorder="1" applyAlignment="1">
      <alignment horizontal="center" vertical="center" wrapText="1"/>
    </xf>
    <xf numFmtId="4" fontId="5" fillId="11" borderId="15" xfId="0" applyNumberFormat="1" applyFont="1" applyFill="1" applyBorder="1" applyAlignment="1">
      <alignment horizontal="center" vertical="center" wrapText="1"/>
    </xf>
    <xf numFmtId="4" fontId="5" fillId="11" borderId="3" xfId="0" applyNumberFormat="1" applyFont="1" applyFill="1" applyBorder="1" applyAlignment="1">
      <alignment horizontal="center" vertical="center" wrapText="1"/>
    </xf>
    <xf numFmtId="0" fontId="26" fillId="0" borderId="0" xfId="4" applyFont="1" applyAlignment="1">
      <alignment horizontal="left" vertical="top" wrapText="1"/>
    </xf>
    <xf numFmtId="0" fontId="28" fillId="0" borderId="0" xfId="4" applyFont="1" applyAlignment="1">
      <alignment horizontal="left" vertical="top" wrapText="1"/>
    </xf>
    <xf numFmtId="0" fontId="25" fillId="0" borderId="0" xfId="4" applyFont="1" applyAlignment="1">
      <alignment horizontal="center" vertical="top" wrapText="1"/>
    </xf>
    <xf numFmtId="0" fontId="27" fillId="0" borderId="0" xfId="4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0" fillId="3" borderId="1" xfId="0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0" fontId="2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</cellXfs>
  <cellStyles count="7">
    <cellStyle name="Dziesiętny 2" xfId="5" xr:uid="{00000000-0005-0000-0000-000000000000}"/>
    <cellStyle name="Normal 2" xfId="1" xr:uid="{00000000-0005-0000-0000-000002000000}"/>
    <cellStyle name="Normalny" xfId="0" builtinId="0"/>
    <cellStyle name="Normalny 2" xfId="4" xr:uid="{00000000-0005-0000-0000-000004000000}"/>
    <cellStyle name="Normalny 3" xfId="6" xr:uid="{00000000-0005-0000-0000-000005000000}"/>
    <cellStyle name="Procentowy" xfId="2" builtinId="5"/>
    <cellStyle name="Procentowy 2" xfId="3" xr:uid="{00000000-0005-0000-0000-000007000000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indexed="1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9" tint="-0.24994659260841701"/>
      </font>
    </dxf>
  </dxfs>
  <tableStyles count="0" defaultTableStyle="TableStyleMedium2" defaultPivotStyle="PivotStyleLight16"/>
  <colors>
    <mruColors>
      <color rgb="FF33CCCC"/>
      <color rgb="FF009999"/>
      <color rgb="FF00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26" fmlaLink="$K$18" fmlaRange="$AO$16:$AO$20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uokik.gov.pl/wyjasnienia-wzory-oraz-pomocne-pliki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uokik.gov.pl/stopa_referencyjna_i_archiwum.ph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</xdr:row>
          <xdr:rowOff>190500</xdr:rowOff>
        </xdr:from>
        <xdr:to>
          <xdr:col>11</xdr:col>
          <xdr:colOff>0</xdr:colOff>
          <xdr:row>18</xdr:row>
          <xdr:rowOff>0</xdr:rowOff>
        </xdr:to>
        <xdr:sp macro="" textlink="">
          <xdr:nvSpPr>
            <xdr:cNvPr id="7169" name="Drop Down 1" descr="to jest pole wyboru z następującymi poziomami ratingu do wyboru: 1. wysoki, 2. dobry, 3. zadowalający, 4. niski, 5. zły/trudności finansowe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312418</xdr:colOff>
      <xdr:row>8</xdr:row>
      <xdr:rowOff>221457</xdr:rowOff>
    </xdr:from>
    <xdr:to>
      <xdr:col>26</xdr:col>
      <xdr:colOff>161924</xdr:colOff>
      <xdr:row>8</xdr:row>
      <xdr:rowOff>492125</xdr:rowOff>
    </xdr:to>
    <xdr:sp macro="" textlink="">
      <xdr:nvSpPr>
        <xdr:cNvPr id="3" name="pole tekstow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12418" y="735807"/>
          <a:ext cx="6431281" cy="27066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Aktualna wartość stopy bazowej pod adresem: </a:t>
          </a:r>
          <a:r>
            <a:rPr lang="pl-PL" sz="1100" u="sng">
              <a:solidFill>
                <a:schemeClr val="accent1">
                  <a:lumMod val="75000"/>
                </a:schemeClr>
              </a:solidFill>
            </a:rPr>
            <a:t>https://uokik.gov.pl/wyjasnienia-wzory-oraz-pomocne-pliki</a:t>
          </a:r>
          <a:endParaRPr lang="pl-PL" sz="1100"/>
        </a:p>
      </xdr:txBody>
    </xdr:sp>
    <xdr:clientData/>
  </xdr:twoCellAnchor>
  <xdr:twoCellAnchor>
    <xdr:from>
      <xdr:col>11</xdr:col>
      <xdr:colOff>12701</xdr:colOff>
      <xdr:row>8</xdr:row>
      <xdr:rowOff>504825</xdr:rowOff>
    </xdr:from>
    <xdr:to>
      <xdr:col>11</xdr:col>
      <xdr:colOff>609600</xdr:colOff>
      <xdr:row>15</xdr:row>
      <xdr:rowOff>76200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2984501" y="1019175"/>
          <a:ext cx="596899" cy="36195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16</xdr:row>
      <xdr:rowOff>0</xdr:rowOff>
    </xdr:from>
    <xdr:to>
      <xdr:col>7</xdr:col>
      <xdr:colOff>1</xdr:colOff>
      <xdr:row>16</xdr:row>
      <xdr:rowOff>173038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000-00000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4267200" y="1295400"/>
          <a:ext cx="1" cy="163513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15</xdr:row>
      <xdr:rowOff>0</xdr:rowOff>
    </xdr:from>
    <xdr:to>
      <xdr:col>7</xdr:col>
      <xdr:colOff>1</xdr:colOff>
      <xdr:row>15</xdr:row>
      <xdr:rowOff>173038</xdr:rowOff>
    </xdr:to>
    <xdr:cxnSp macro="">
      <xdr:nvCxnSpPr>
        <xdr:cNvPr id="6" name="Łącznik prosty 5">
          <a:extLst>
            <a:ext uri="{FF2B5EF4-FFF2-40B4-BE49-F238E27FC236}">
              <a16:creationId xmlns:a16="http://schemas.microsoft.com/office/drawing/2014/main" id="{00000000-0008-0000-0000-00000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4267200" y="1133475"/>
          <a:ext cx="1" cy="163513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16</xdr:row>
      <xdr:rowOff>168752</xdr:rowOff>
    </xdr:from>
    <xdr:to>
      <xdr:col>12</xdr:col>
      <xdr:colOff>0</xdr:colOff>
      <xdr:row>17</xdr:row>
      <xdr:rowOff>149042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000-00000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7315200" y="1454627"/>
          <a:ext cx="0" cy="15174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127001</xdr:colOff>
      <xdr:row>11</xdr:row>
      <xdr:rowOff>34395</xdr:rowOff>
    </xdr:from>
    <xdr:to>
      <xdr:col>18</xdr:col>
      <xdr:colOff>1262063</xdr:colOff>
      <xdr:row>13</xdr:row>
      <xdr:rowOff>117739</xdr:rowOff>
    </xdr:to>
    <xdr:sp macro="" textlink="">
      <xdr:nvSpPr>
        <xdr:cNvPr id="2" name="pole tekstow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746251" y="34395"/>
          <a:ext cx="4087812" cy="46434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Aktualną</a:t>
          </a:r>
          <a:r>
            <a:rPr lang="pl-PL" sz="1100" baseline="0"/>
            <a:t> wysokość stopy bazowej należy sprawdzić na stronie:</a:t>
          </a:r>
        </a:p>
        <a:p>
          <a:r>
            <a:rPr lang="pl-PL" sz="1100"/>
            <a:t>https://www.uokik.gov.pl/stopa_referencyjna_i_archiwum.php</a:t>
          </a:r>
        </a:p>
        <a:p>
          <a:endParaRPr lang="pl-PL" sz="1100"/>
        </a:p>
      </xdr:txBody>
    </xdr:sp>
    <xdr:clientData/>
  </xdr:twoCellAnchor>
  <xdr:twoCellAnchor>
    <xdr:from>
      <xdr:col>11</xdr:col>
      <xdr:colOff>8659</xdr:colOff>
      <xdr:row>13</xdr:row>
      <xdr:rowOff>132411</xdr:rowOff>
    </xdr:from>
    <xdr:to>
      <xdr:col>11</xdr:col>
      <xdr:colOff>455324</xdr:colOff>
      <xdr:row>15</xdr:row>
      <xdr:rowOff>86591</xdr:rowOff>
    </xdr:to>
    <xdr:cxnSp macro="">
      <xdr:nvCxnSpPr>
        <xdr:cNvPr id="14" name="Łącznik prosty ze strzałką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 flipH="1">
          <a:off x="3151909" y="513411"/>
          <a:ext cx="446665" cy="33518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5"/>
  <dimension ref="A1:AP195"/>
  <sheetViews>
    <sheetView showGridLines="0" tabSelected="1" zoomScale="90" zoomScaleNormal="90" workbookViewId="0">
      <selection activeCell="AA16" sqref="AA16"/>
    </sheetView>
  </sheetViews>
  <sheetFormatPr defaultColWidth="9.109375" defaultRowHeight="13.2" x14ac:dyDescent="0.25"/>
  <cols>
    <col min="1" max="1" width="13.88671875" style="157" customWidth="1"/>
    <col min="2" max="2" width="13.6640625" style="157" customWidth="1"/>
    <col min="3" max="3" width="10.109375" style="157" hidden="1" customWidth="1"/>
    <col min="4" max="4" width="9.44140625" style="157" hidden="1" customWidth="1"/>
    <col min="5" max="5" width="12.5546875" style="157" hidden="1" customWidth="1"/>
    <col min="6" max="6" width="11.6640625" style="157" hidden="1" customWidth="1"/>
    <col min="7" max="7" width="15.33203125" style="157" hidden="1" customWidth="1"/>
    <col min="8" max="8" width="15.44140625" style="157" hidden="1" customWidth="1"/>
    <col min="9" max="9" width="15" style="157" hidden="1" customWidth="1"/>
    <col min="10" max="10" width="15.6640625" style="157" hidden="1" customWidth="1"/>
    <col min="11" max="12" width="18.44140625" style="157" customWidth="1"/>
    <col min="13" max="13" width="16.33203125" style="157" hidden="1" customWidth="1"/>
    <col min="14" max="14" width="13.5546875" style="157" hidden="1" customWidth="1"/>
    <col min="15" max="17" width="13.109375" style="157" hidden="1" customWidth="1"/>
    <col min="18" max="18" width="17.5546875" style="157" hidden="1" customWidth="1"/>
    <col min="19" max="19" width="17.6640625" style="157" hidden="1" customWidth="1"/>
    <col min="20" max="20" width="15.5546875" style="157" hidden="1" customWidth="1"/>
    <col min="21" max="21" width="15" style="157" hidden="1" customWidth="1"/>
    <col min="22" max="22" width="14.5546875" style="157" hidden="1" customWidth="1"/>
    <col min="23" max="23" width="15.109375" style="157" hidden="1" customWidth="1"/>
    <col min="24" max="24" width="15" style="157" hidden="1" customWidth="1"/>
    <col min="25" max="25" width="8.44140625" style="157" customWidth="1"/>
    <col min="26" max="26" width="27.33203125" style="157" customWidth="1"/>
    <col min="27" max="28" width="17.44140625" style="157" customWidth="1"/>
    <col min="29" max="31" width="15.44140625" style="157" customWidth="1"/>
    <col min="32" max="32" width="17.33203125" style="157" customWidth="1"/>
    <col min="33" max="33" width="13.5546875" style="157" customWidth="1"/>
    <col min="34" max="34" width="19.44140625" style="157" customWidth="1"/>
    <col min="35" max="36" width="9.109375" style="157"/>
    <col min="37" max="37" width="9.88671875" style="157" customWidth="1"/>
    <col min="38" max="39" width="9.109375" style="157"/>
    <col min="40" max="40" width="9.109375" style="157" hidden="1" customWidth="1"/>
    <col min="41" max="41" width="14.44140625" style="157" hidden="1" customWidth="1"/>
    <col min="42" max="42" width="11.5546875" style="157" hidden="1" customWidth="1"/>
    <col min="43" max="16384" width="9.109375" style="157"/>
  </cols>
  <sheetData>
    <row r="1" spans="1:42" ht="41.25" customHeight="1" x14ac:dyDescent="0.25">
      <c r="A1" s="241" t="s">
        <v>149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</row>
    <row r="2" spans="1:42" ht="11.25" customHeight="1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</row>
    <row r="3" spans="1:42" s="100" customFormat="1" ht="19.5" customHeight="1" x14ac:dyDescent="0.3">
      <c r="A3" s="211" t="s">
        <v>83</v>
      </c>
      <c r="B3" s="211"/>
      <c r="C3" s="212"/>
      <c r="D3" s="213"/>
      <c r="E3" s="213"/>
      <c r="F3" s="213"/>
      <c r="G3" s="213"/>
      <c r="H3" s="213"/>
      <c r="I3" s="214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</row>
    <row r="4" spans="1:42" s="100" customFormat="1" ht="6.75" customHeight="1" x14ac:dyDescent="0.3">
      <c r="A4" s="101"/>
      <c r="B4" s="101"/>
      <c r="C4" s="101"/>
      <c r="D4" s="102"/>
      <c r="E4" s="102"/>
      <c r="F4" s="102"/>
      <c r="G4" s="102"/>
      <c r="H4" s="102"/>
      <c r="I4" s="102"/>
    </row>
    <row r="5" spans="1:42" s="100" customFormat="1" ht="26.25" customHeight="1" x14ac:dyDescent="0.25">
      <c r="A5" s="211" t="s">
        <v>79</v>
      </c>
      <c r="B5" s="211"/>
      <c r="C5" s="215"/>
      <c r="D5" s="216"/>
      <c r="E5" s="216"/>
      <c r="F5" s="216"/>
      <c r="G5" s="216"/>
      <c r="H5" s="216"/>
      <c r="I5" s="217"/>
      <c r="J5" s="97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</row>
    <row r="6" spans="1:42" s="100" customFormat="1" ht="5.25" customHeight="1" x14ac:dyDescent="0.25">
      <c r="A6" s="99"/>
      <c r="B6" s="99"/>
      <c r="C6" s="205"/>
      <c r="D6" s="205"/>
      <c r="E6" s="205"/>
      <c r="F6" s="205"/>
      <c r="G6" s="205"/>
      <c r="H6" s="205"/>
      <c r="I6" s="205"/>
      <c r="J6" s="97"/>
    </row>
    <row r="7" spans="1:42" s="98" customFormat="1" ht="18" customHeight="1" x14ac:dyDescent="0.3">
      <c r="A7" s="211" t="s">
        <v>143</v>
      </c>
      <c r="B7" s="211"/>
      <c r="C7" s="206" t="s">
        <v>144</v>
      </c>
      <c r="E7" s="97"/>
      <c r="F7" s="97"/>
      <c r="G7" s="97"/>
      <c r="H7" s="97"/>
      <c r="I7" s="97"/>
      <c r="J7" s="97"/>
      <c r="K7" s="207" t="s">
        <v>144</v>
      </c>
    </row>
    <row r="8" spans="1:42" s="100" customFormat="1" ht="6" hidden="1" customHeight="1" x14ac:dyDescent="0.25">
      <c r="A8" s="99"/>
      <c r="B8" s="99"/>
      <c r="C8" s="205"/>
      <c r="D8" s="205"/>
      <c r="E8" s="205"/>
      <c r="F8" s="205"/>
      <c r="G8" s="205"/>
      <c r="H8" s="205"/>
      <c r="I8" s="205"/>
      <c r="J8" s="97"/>
    </row>
    <row r="9" spans="1:42" ht="47.25" customHeight="1" x14ac:dyDescent="0.25"/>
    <row r="10" spans="1:42" hidden="1" x14ac:dyDescent="0.25">
      <c r="T10" s="158" t="s">
        <v>2</v>
      </c>
      <c r="W10" s="158" t="s">
        <v>19</v>
      </c>
      <c r="Z10" s="222" t="s">
        <v>92</v>
      </c>
      <c r="AA10" s="225"/>
      <c r="AB10" s="223"/>
      <c r="AC10" s="159">
        <v>4.3015999999999996</v>
      </c>
    </row>
    <row r="11" spans="1:42" ht="14.25" hidden="1" customHeight="1" x14ac:dyDescent="0.25">
      <c r="S11" s="159" t="s">
        <v>20</v>
      </c>
      <c r="T11" s="160">
        <f>+G38</f>
        <v>0</v>
      </c>
      <c r="W11" s="160">
        <f>+H38</f>
        <v>0</v>
      </c>
      <c r="Z11" s="222" t="s">
        <v>91</v>
      </c>
      <c r="AA11" s="225"/>
      <c r="AB11" s="223"/>
      <c r="AC11" s="161">
        <v>43467</v>
      </c>
    </row>
    <row r="12" spans="1:42" hidden="1" x14ac:dyDescent="0.25">
      <c r="A12" s="162"/>
      <c r="B12" s="162">
        <f>YEAR(K15)</f>
        <v>2024</v>
      </c>
      <c r="S12" s="159"/>
      <c r="T12" s="159"/>
      <c r="U12" s="163">
        <f>+K22</f>
        <v>0</v>
      </c>
      <c r="V12" s="164">
        <f>+K22*K38</f>
        <v>0</v>
      </c>
      <c r="W12" s="159"/>
      <c r="Z12" s="165"/>
      <c r="AA12" s="165"/>
      <c r="AB12" s="165"/>
      <c r="AC12" s="159"/>
    </row>
    <row r="13" spans="1:42" hidden="1" x14ac:dyDescent="0.25">
      <c r="A13" s="162"/>
      <c r="B13" s="162">
        <f>ROUNDUP((MONTH(K15))/3,0)</f>
        <v>4</v>
      </c>
      <c r="S13" s="159" t="s">
        <v>24</v>
      </c>
      <c r="T13" s="160">
        <f>+I38</f>
        <v>0</v>
      </c>
      <c r="U13" s="163">
        <f>1-U12</f>
        <v>1</v>
      </c>
      <c r="V13" s="164">
        <f>+K38-V12</f>
        <v>0</v>
      </c>
      <c r="W13" s="160">
        <f>+J38</f>
        <v>0</v>
      </c>
      <c r="Z13" s="165"/>
      <c r="AA13" s="165"/>
      <c r="AB13" s="165"/>
      <c r="AC13" s="159"/>
    </row>
    <row r="14" spans="1:42" ht="12" hidden="1" customHeight="1" x14ac:dyDescent="0.25">
      <c r="A14" s="162"/>
      <c r="B14" s="162">
        <f>+(B12-2014)*4+B13</f>
        <v>44</v>
      </c>
      <c r="S14" s="159" t="s">
        <v>25</v>
      </c>
      <c r="T14" s="159"/>
      <c r="W14" s="160">
        <f>+W11-W13</f>
        <v>0</v>
      </c>
      <c r="Z14" s="166"/>
      <c r="AA14" s="166"/>
      <c r="AB14" s="166"/>
      <c r="AC14" s="167"/>
    </row>
    <row r="15" spans="1:42" ht="15" customHeight="1" x14ac:dyDescent="0.3">
      <c r="A15" s="220" t="s">
        <v>26</v>
      </c>
      <c r="B15" s="220"/>
      <c r="C15" s="161"/>
      <c r="D15" s="161"/>
      <c r="E15" s="159"/>
      <c r="F15" s="159"/>
      <c r="K15" s="156">
        <v>45600</v>
      </c>
      <c r="N15" s="135" t="s">
        <v>156</v>
      </c>
      <c r="O15" s="98"/>
      <c r="Z15" s="168"/>
    </row>
    <row r="16" spans="1:42" ht="15" customHeight="1" x14ac:dyDescent="0.3">
      <c r="A16" s="220" t="s">
        <v>28</v>
      </c>
      <c r="B16" s="220"/>
      <c r="C16" s="159"/>
      <c r="D16" s="159"/>
      <c r="E16" s="159"/>
      <c r="F16" s="159"/>
      <c r="H16" s="164"/>
      <c r="K16" s="209">
        <v>5.6800000000000003E-2</v>
      </c>
      <c r="N16" s="136" t="s">
        <v>144</v>
      </c>
      <c r="O16" s="84">
        <v>0</v>
      </c>
      <c r="AN16" s="157">
        <v>1</v>
      </c>
      <c r="AO16" s="157" t="s">
        <v>30</v>
      </c>
      <c r="AP16" s="169">
        <v>6.0000000000000001E-3</v>
      </c>
    </row>
    <row r="17" spans="1:42" ht="15" customHeight="1" x14ac:dyDescent="0.3">
      <c r="A17" s="220" t="s">
        <v>31</v>
      </c>
      <c r="B17" s="220"/>
      <c r="C17" s="86"/>
      <c r="D17" s="159"/>
      <c r="E17" s="159"/>
      <c r="F17" s="159"/>
      <c r="K17" s="85">
        <f>+K16+1%</f>
        <v>6.6799999999999998E-2</v>
      </c>
      <c r="N17" s="136" t="s">
        <v>145</v>
      </c>
      <c r="O17" s="84">
        <v>0.1</v>
      </c>
      <c r="U17" s="87"/>
      <c r="AN17" s="157">
        <v>2</v>
      </c>
      <c r="AO17" s="157" t="s">
        <v>33</v>
      </c>
      <c r="AP17" s="169">
        <v>7.4999999999999997E-3</v>
      </c>
    </row>
    <row r="18" spans="1:42" ht="15" customHeight="1" x14ac:dyDescent="0.3">
      <c r="A18" s="220" t="s">
        <v>34</v>
      </c>
      <c r="B18" s="220"/>
      <c r="C18" s="159"/>
      <c r="D18" s="159"/>
      <c r="E18" s="159"/>
      <c r="F18" s="159"/>
      <c r="I18" s="170"/>
      <c r="K18" s="154">
        <v>3</v>
      </c>
      <c r="N18" s="136" t="s">
        <v>146</v>
      </c>
      <c r="O18" s="84">
        <v>0.2</v>
      </c>
      <c r="U18" s="87"/>
      <c r="AC18" s="171"/>
      <c r="AN18" s="157">
        <v>3</v>
      </c>
      <c r="AO18" s="157" t="s">
        <v>35</v>
      </c>
      <c r="AP18" s="169">
        <v>0.01</v>
      </c>
    </row>
    <row r="19" spans="1:42" ht="15" customHeight="1" x14ac:dyDescent="0.3">
      <c r="A19" s="221" t="s">
        <v>37</v>
      </c>
      <c r="B19" s="220"/>
      <c r="C19" s="159"/>
      <c r="D19" s="159"/>
      <c r="E19" s="159"/>
      <c r="F19" s="159"/>
      <c r="I19" s="172"/>
      <c r="K19" s="173">
        <f>VLOOKUP($K$18,ratt,3)</f>
        <v>0.01</v>
      </c>
      <c r="N19" s="136" t="s">
        <v>14</v>
      </c>
      <c r="O19" s="84">
        <v>0.2</v>
      </c>
      <c r="AC19" s="174"/>
      <c r="AN19" s="157">
        <v>4</v>
      </c>
      <c r="AO19" s="157" t="s">
        <v>38</v>
      </c>
      <c r="AP19" s="169">
        <v>2.1999999999999999E-2</v>
      </c>
    </row>
    <row r="20" spans="1:42" ht="15" customHeight="1" x14ac:dyDescent="0.25">
      <c r="A20" s="220" t="s">
        <v>39</v>
      </c>
      <c r="B20" s="220"/>
      <c r="C20" s="159"/>
      <c r="D20" s="159"/>
      <c r="E20" s="159"/>
      <c r="F20" s="159"/>
      <c r="K20" s="173">
        <f>+K16+K19</f>
        <v>6.6799999999999998E-2</v>
      </c>
      <c r="U20" s="164"/>
      <c r="AN20" s="157">
        <v>5</v>
      </c>
      <c r="AO20" s="157" t="s">
        <v>42</v>
      </c>
      <c r="AP20" s="169">
        <v>0.04</v>
      </c>
    </row>
    <row r="21" spans="1:42" ht="15" customHeight="1" x14ac:dyDescent="0.25">
      <c r="A21" s="222" t="s">
        <v>96</v>
      </c>
      <c r="B21" s="223"/>
      <c r="C21" s="159"/>
      <c r="D21" s="159"/>
      <c r="E21" s="159"/>
      <c r="F21" s="159"/>
      <c r="I21" s="170"/>
      <c r="K21" s="173">
        <v>0</v>
      </c>
    </row>
    <row r="22" spans="1:42" ht="18" hidden="1" customHeight="1" x14ac:dyDescent="0.3">
      <c r="A22" s="222" t="s">
        <v>90</v>
      </c>
      <c r="B22" s="223"/>
      <c r="K22" s="175">
        <v>0</v>
      </c>
      <c r="N22" s="176"/>
      <c r="O22" s="176"/>
      <c r="P22" s="176"/>
      <c r="Q22" s="176"/>
      <c r="R22" s="176"/>
      <c r="Z22" s="177" t="s">
        <v>44</v>
      </c>
      <c r="AA22" s="178">
        <f>+AD103+AG104</f>
        <v>0</v>
      </c>
      <c r="AC22" s="178">
        <f>+AK103+AJ104</f>
        <v>0</v>
      </c>
    </row>
    <row r="23" spans="1:42" ht="18" hidden="1" customHeight="1" x14ac:dyDescent="0.3">
      <c r="A23" s="222" t="s">
        <v>97</v>
      </c>
      <c r="B23" s="223"/>
      <c r="C23" s="159"/>
      <c r="D23" s="159"/>
      <c r="E23" s="159"/>
      <c r="F23" s="159"/>
      <c r="I23" s="170"/>
      <c r="K23" s="179">
        <v>4.3</v>
      </c>
      <c r="N23" s="160"/>
      <c r="O23" s="160"/>
      <c r="P23" s="160"/>
      <c r="Q23" s="160"/>
      <c r="R23" s="160"/>
    </row>
    <row r="24" spans="1:42" ht="30" customHeight="1" x14ac:dyDescent="0.3">
      <c r="A24" s="162"/>
      <c r="B24" s="162"/>
      <c r="I24" s="170"/>
      <c r="K24" s="180"/>
      <c r="N24" s="164"/>
      <c r="O24" s="164"/>
      <c r="P24" s="164"/>
      <c r="Q24" s="164"/>
      <c r="R24" s="164"/>
    </row>
    <row r="25" spans="1:42" ht="18" customHeight="1" x14ac:dyDescent="0.3">
      <c r="A25" s="181" t="s">
        <v>132</v>
      </c>
      <c r="B25" s="162"/>
      <c r="I25" s="170"/>
      <c r="K25" s="182"/>
      <c r="N25" s="164"/>
      <c r="O25" s="164"/>
      <c r="P25" s="164"/>
      <c r="Q25" s="164"/>
      <c r="R25" s="164"/>
    </row>
    <row r="26" spans="1:42" ht="13.5" customHeight="1" x14ac:dyDescent="0.25">
      <c r="A26" s="162"/>
      <c r="B26" s="183"/>
      <c r="C26" s="159"/>
      <c r="D26" s="159"/>
      <c r="E26" s="159"/>
      <c r="F26" s="159"/>
      <c r="G26" s="159"/>
      <c r="H26" s="159"/>
      <c r="I26" s="184"/>
      <c r="J26" s="159"/>
      <c r="K26" s="226" t="s">
        <v>2</v>
      </c>
      <c r="L26" s="226" t="s">
        <v>98</v>
      </c>
      <c r="N26" s="164"/>
      <c r="O26" s="164"/>
      <c r="P26" s="164"/>
      <c r="Q26" s="164"/>
      <c r="R26" s="164"/>
      <c r="AB26" s="172"/>
    </row>
    <row r="27" spans="1:42" ht="13.5" customHeight="1" x14ac:dyDescent="0.25">
      <c r="A27" s="185"/>
      <c r="B27" s="186"/>
      <c r="C27" s="159"/>
      <c r="D27" s="159"/>
      <c r="E27" s="159"/>
      <c r="F27" s="159"/>
      <c r="G27" s="159"/>
      <c r="H27" s="159"/>
      <c r="I27" s="184"/>
      <c r="J27" s="159"/>
      <c r="K27" s="226"/>
      <c r="L27" s="226"/>
      <c r="N27" s="164"/>
      <c r="O27" s="164"/>
      <c r="P27" s="164"/>
      <c r="Q27" s="164"/>
      <c r="R27" s="164"/>
    </row>
    <row r="28" spans="1:42" ht="13.5" customHeight="1" x14ac:dyDescent="0.25">
      <c r="A28" s="229" t="s">
        <v>131</v>
      </c>
      <c r="B28" s="229"/>
      <c r="C28" s="159"/>
      <c r="D28" s="159"/>
      <c r="E28" s="159"/>
      <c r="F28" s="159"/>
      <c r="G28" s="159"/>
      <c r="H28" s="159"/>
      <c r="I28" s="184"/>
      <c r="J28" s="159"/>
      <c r="K28" s="155"/>
      <c r="L28" s="187"/>
      <c r="N28" s="164"/>
      <c r="O28" s="164"/>
      <c r="P28" s="164"/>
      <c r="Q28" s="164"/>
      <c r="R28" s="164"/>
    </row>
    <row r="29" spans="1:42" ht="14.25" customHeight="1" x14ac:dyDescent="0.25">
      <c r="A29" s="227" t="s">
        <v>127</v>
      </c>
      <c r="B29" s="228"/>
      <c r="C29" s="159"/>
      <c r="D29" s="159"/>
      <c r="E29" s="159"/>
      <c r="F29" s="159"/>
      <c r="G29" s="159"/>
      <c r="H29" s="159"/>
      <c r="I29" s="184"/>
      <c r="J29" s="159"/>
      <c r="K29" s="155"/>
      <c r="L29" s="188">
        <f>K29</f>
        <v>0</v>
      </c>
      <c r="N29" s="164"/>
      <c r="O29" s="164"/>
      <c r="P29" s="164"/>
      <c r="Q29" s="164"/>
      <c r="R29" s="164"/>
    </row>
    <row r="30" spans="1:42" ht="14.25" customHeight="1" x14ac:dyDescent="0.25">
      <c r="A30" s="229" t="s">
        <v>128</v>
      </c>
      <c r="B30" s="229"/>
      <c r="C30" s="159"/>
      <c r="D30" s="159"/>
      <c r="E30" s="159"/>
      <c r="F30" s="159"/>
      <c r="G30" s="159"/>
      <c r="H30" s="159"/>
      <c r="I30" s="184"/>
      <c r="J30" s="159"/>
      <c r="K30" s="188">
        <f>K28-K31-K29</f>
        <v>0</v>
      </c>
      <c r="L30" s="188">
        <f>IF(ROUND(R38,2)&lt;0,0,ROUND(R38,2))</f>
        <v>0</v>
      </c>
      <c r="N30" s="164"/>
      <c r="O30" s="164"/>
      <c r="P30" s="164"/>
      <c r="Q30" s="164"/>
      <c r="R30" s="164"/>
    </row>
    <row r="31" spans="1:42" ht="14.25" customHeight="1" x14ac:dyDescent="0.25">
      <c r="A31" s="229" t="s">
        <v>129</v>
      </c>
      <c r="B31" s="229"/>
      <c r="C31" s="159"/>
      <c r="D31" s="159"/>
      <c r="E31" s="159"/>
      <c r="F31" s="159"/>
      <c r="G31" s="159"/>
      <c r="H31" s="159"/>
      <c r="I31" s="184"/>
      <c r="J31" s="159"/>
      <c r="K31" s="188">
        <f>ROUND(K28*0.2029,2)</f>
        <v>0</v>
      </c>
      <c r="L31" s="188">
        <v>0</v>
      </c>
      <c r="N31" s="164"/>
      <c r="O31" s="164"/>
      <c r="P31" s="164"/>
      <c r="Q31" s="164"/>
      <c r="R31" s="164"/>
      <c r="Y31" s="189" t="s">
        <v>126</v>
      </c>
    </row>
    <row r="32" spans="1:42" ht="14.25" customHeight="1" x14ac:dyDescent="0.25">
      <c r="A32" s="229" t="s">
        <v>135</v>
      </c>
      <c r="B32" s="229"/>
      <c r="C32" s="159"/>
      <c r="D32" s="159"/>
      <c r="E32" s="159"/>
      <c r="F32" s="159"/>
      <c r="G32" s="159"/>
      <c r="H32" s="159"/>
      <c r="I32" s="184"/>
      <c r="J32" s="159"/>
      <c r="K32" s="176">
        <f>SUM(K29:K30)</f>
        <v>0</v>
      </c>
      <c r="L32" s="188">
        <f>SUM(L29:L31)</f>
        <v>0</v>
      </c>
      <c r="M32" s="171"/>
      <c r="N32" s="164"/>
      <c r="O32" s="164"/>
      <c r="P32" s="164"/>
      <c r="Q32" s="164"/>
      <c r="R32" s="164"/>
    </row>
    <row r="33" spans="1:35" ht="10.5" customHeight="1" x14ac:dyDescent="0.3">
      <c r="B33" s="162"/>
      <c r="I33" s="170"/>
      <c r="K33" s="190"/>
      <c r="N33" s="164"/>
      <c r="O33" s="164"/>
      <c r="P33" s="164"/>
      <c r="Q33" s="164"/>
      <c r="R33" s="164"/>
    </row>
    <row r="34" spans="1:35" s="172" customFormat="1" ht="16.5" customHeight="1" x14ac:dyDescent="0.4">
      <c r="A34" s="191" t="s">
        <v>134</v>
      </c>
      <c r="B34" s="192"/>
      <c r="I34" s="170"/>
      <c r="K34" s="193" t="str">
        <f>IF(K29+K30=0.7971*K28,"OK","BŁĄD!")</f>
        <v>OK</v>
      </c>
      <c r="N34" s="194"/>
      <c r="O34" s="194"/>
      <c r="P34" s="194"/>
      <c r="Q34" s="194"/>
      <c r="R34" s="194"/>
    </row>
    <row r="35" spans="1:35" ht="18" customHeight="1" x14ac:dyDescent="0.4">
      <c r="A35" s="192" t="s">
        <v>133</v>
      </c>
      <c r="B35" s="162"/>
      <c r="I35" s="170"/>
      <c r="K35" s="193" t="str">
        <f>IF(K29&lt;=0.49*(K29+K30),"OK","BŁĄD!")</f>
        <v>OK</v>
      </c>
      <c r="N35" s="164"/>
      <c r="O35" s="164"/>
      <c r="P35" s="164"/>
      <c r="Q35" s="164"/>
      <c r="R35" s="164"/>
      <c r="AA35" s="172"/>
    </row>
    <row r="36" spans="1:35" ht="21.75" customHeight="1" x14ac:dyDescent="0.3">
      <c r="A36" s="162"/>
      <c r="B36" s="162"/>
      <c r="I36" s="170"/>
      <c r="K36" s="190"/>
      <c r="N36" s="164"/>
      <c r="O36" s="164"/>
      <c r="P36" s="164"/>
      <c r="Q36" s="164"/>
      <c r="R36" s="164"/>
    </row>
    <row r="37" spans="1:35" ht="21" customHeight="1" x14ac:dyDescent="0.3">
      <c r="A37" s="181" t="s">
        <v>125</v>
      </c>
      <c r="B37" s="88"/>
      <c r="G37" s="170"/>
    </row>
    <row r="38" spans="1:35" ht="12.75" customHeight="1" x14ac:dyDescent="0.25">
      <c r="A38" s="230" t="s">
        <v>130</v>
      </c>
      <c r="B38" s="230"/>
      <c r="G38" s="195">
        <f t="shared" ref="G38:J38" si="0">SUM(G40:G187)</f>
        <v>0</v>
      </c>
      <c r="H38" s="195">
        <f t="shared" si="0"/>
        <v>0</v>
      </c>
      <c r="I38" s="195">
        <f t="shared" si="0"/>
        <v>0</v>
      </c>
      <c r="J38" s="195">
        <f t="shared" si="0"/>
        <v>0</v>
      </c>
      <c r="K38" s="195">
        <f>SUM(K40:K195)</f>
        <v>0</v>
      </c>
      <c r="L38" s="195">
        <f>SUM(L40:L195)</f>
        <v>0</v>
      </c>
      <c r="M38" s="195">
        <f t="shared" ref="M38:X38" si="1">SUM(M40:M195)</f>
        <v>0</v>
      </c>
      <c r="N38" s="195"/>
      <c r="O38" s="195">
        <f t="shared" si="1"/>
        <v>0</v>
      </c>
      <c r="P38" s="195">
        <f t="shared" si="1"/>
        <v>0</v>
      </c>
      <c r="Q38" s="195">
        <f t="shared" si="1"/>
        <v>0</v>
      </c>
      <c r="R38" s="195">
        <f t="shared" si="1"/>
        <v>0</v>
      </c>
      <c r="S38" s="195">
        <f t="shared" si="1"/>
        <v>0</v>
      </c>
      <c r="T38" s="195">
        <f t="shared" si="1"/>
        <v>0</v>
      </c>
      <c r="U38" s="195">
        <f t="shared" si="1"/>
        <v>0</v>
      </c>
      <c r="V38" s="195">
        <f t="shared" si="1"/>
        <v>0</v>
      </c>
      <c r="W38" s="195">
        <f t="shared" si="1"/>
        <v>0</v>
      </c>
      <c r="X38" s="195">
        <f t="shared" si="1"/>
        <v>0</v>
      </c>
      <c r="Y38" s="196" t="str">
        <f>IF(AND(K38=K30,L38=K30),""," BŁĄD! Wypłaty/spłaty pożyczki nie są równe kwocie pożyczki IF podanej powyżej (w komórce K22)")</f>
        <v/>
      </c>
      <c r="AI38" s="197"/>
    </row>
    <row r="39" spans="1:35" s="199" customFormat="1" x14ac:dyDescent="0.25">
      <c r="A39" s="158" t="s">
        <v>50</v>
      </c>
      <c r="B39" s="158" t="s">
        <v>51</v>
      </c>
      <c r="C39" s="158"/>
      <c r="D39" s="158" t="s">
        <v>52</v>
      </c>
      <c r="E39" s="158" t="s">
        <v>53</v>
      </c>
      <c r="F39" s="158" t="s">
        <v>54</v>
      </c>
      <c r="G39" s="158" t="s">
        <v>20</v>
      </c>
      <c r="H39" s="158" t="s">
        <v>55</v>
      </c>
      <c r="I39" s="158" t="s">
        <v>56</v>
      </c>
      <c r="J39" s="158" t="s">
        <v>57</v>
      </c>
      <c r="K39" s="198" t="s">
        <v>123</v>
      </c>
      <c r="L39" s="198" t="s">
        <v>124</v>
      </c>
      <c r="M39" s="158" t="s">
        <v>60</v>
      </c>
      <c r="N39" s="158" t="s">
        <v>61</v>
      </c>
      <c r="O39" s="158" t="s">
        <v>62</v>
      </c>
      <c r="P39" s="158" t="s">
        <v>63</v>
      </c>
      <c r="Q39" s="158" t="s">
        <v>64</v>
      </c>
      <c r="R39" s="158" t="s">
        <v>65</v>
      </c>
      <c r="S39" s="158" t="s">
        <v>60</v>
      </c>
      <c r="T39" s="158" t="s">
        <v>90</v>
      </c>
      <c r="U39" s="158" t="s">
        <v>67</v>
      </c>
      <c r="V39" s="158" t="s">
        <v>68</v>
      </c>
      <c r="W39" s="158" t="s">
        <v>89</v>
      </c>
      <c r="X39" s="158" t="s">
        <v>88</v>
      </c>
      <c r="AI39" s="197"/>
    </row>
    <row r="40" spans="1:35" hidden="1" x14ac:dyDescent="0.25">
      <c r="A40" s="219">
        <v>2014</v>
      </c>
      <c r="B40" s="200" t="s">
        <v>69</v>
      </c>
      <c r="C40" s="200">
        <f>+A40</f>
        <v>2014</v>
      </c>
      <c r="D40" s="200">
        <v>1</v>
      </c>
      <c r="E40" s="200">
        <f t="shared" ref="E40:E71" si="2">IF(D40&lt;$B$14,1,(1/(1+$K$17/4)^(D40-$B$14+1)))</f>
        <v>1</v>
      </c>
      <c r="F40" s="200">
        <f t="shared" ref="F40:F71" si="3">IF(C40&lt;($B$12+1),1,(1/(1+$K$17)^(C40-$B$12)))</f>
        <v>1</v>
      </c>
      <c r="G40" s="210"/>
      <c r="H40" s="176">
        <f>+G40*F40</f>
        <v>0</v>
      </c>
      <c r="I40" s="210"/>
      <c r="J40" s="176">
        <f>+I40*F40</f>
        <v>0</v>
      </c>
      <c r="K40" s="176"/>
      <c r="L40" s="176"/>
      <c r="M40" s="176">
        <f>+L40</f>
        <v>0</v>
      </c>
      <c r="N40" s="176">
        <f>+K40</f>
        <v>0</v>
      </c>
      <c r="O40" s="176">
        <f t="shared" ref="O40:O71" si="4">+N40*($K$21/4)</f>
        <v>0</v>
      </c>
      <c r="P40" s="176">
        <f t="shared" ref="P40:P71" si="5">+N40*($K$20/4)</f>
        <v>0</v>
      </c>
      <c r="Q40" s="176">
        <f t="shared" ref="Q40:Q71" si="6">+P40-O40</f>
        <v>0</v>
      </c>
      <c r="R40" s="176">
        <f t="shared" ref="R40:R71" si="7">+Q40*E40</f>
        <v>0</v>
      </c>
      <c r="S40" s="176">
        <f t="shared" ref="S40:S71" si="8">+L40-T40</f>
        <v>0</v>
      </c>
      <c r="T40" s="176">
        <f>IF(SUM(L40:L$40)&lt;V$13,IF(SUM(L$40:L40)&lt;V$13,0,(SUM(L$40:L40)-V$13)),L40)</f>
        <v>0</v>
      </c>
      <c r="U40" s="210">
        <f>SUM(T40:T43)</f>
        <v>0</v>
      </c>
      <c r="V40" s="176">
        <f>+U40*F40</f>
        <v>0</v>
      </c>
      <c r="W40" s="210"/>
      <c r="X40" s="176">
        <f>+W40*F40</f>
        <v>0</v>
      </c>
      <c r="Y40" s="201"/>
    </row>
    <row r="41" spans="1:35" hidden="1" x14ac:dyDescent="0.25">
      <c r="A41" s="219"/>
      <c r="B41" s="200" t="s">
        <v>70</v>
      </c>
      <c r="C41" s="200">
        <f>+C40</f>
        <v>2014</v>
      </c>
      <c r="D41" s="200">
        <v>2</v>
      </c>
      <c r="E41" s="200">
        <f t="shared" si="2"/>
        <v>1</v>
      </c>
      <c r="F41" s="200">
        <f t="shared" si="3"/>
        <v>1</v>
      </c>
      <c r="G41" s="210"/>
      <c r="H41" s="200"/>
      <c r="I41" s="210"/>
      <c r="J41" s="200"/>
      <c r="K41" s="176"/>
      <c r="L41" s="176"/>
      <c r="M41" s="176">
        <f>IF(SUM(M$40:M40)=K$38,0,IF(SUM(L$40:L41)&lt;$V$13,L41,K$38-SUM(L$40:L40)))</f>
        <v>0</v>
      </c>
      <c r="N41" s="176">
        <f t="shared" ref="N41:N72" si="9">+N40+K41-M40</f>
        <v>0</v>
      </c>
      <c r="O41" s="176">
        <f t="shared" si="4"/>
        <v>0</v>
      </c>
      <c r="P41" s="176">
        <f t="shared" si="5"/>
        <v>0</v>
      </c>
      <c r="Q41" s="176">
        <f t="shared" si="6"/>
        <v>0</v>
      </c>
      <c r="R41" s="176">
        <f t="shared" si="7"/>
        <v>0</v>
      </c>
      <c r="S41" s="176">
        <f t="shared" si="8"/>
        <v>0</v>
      </c>
      <c r="T41" s="176">
        <f>IF(SUM(L$40:L40)&lt;V$13,IF(SUM(L$40:L41)&lt;V$13,0,(SUM(L$40:L41)-V$13)),L41)</f>
        <v>0</v>
      </c>
      <c r="U41" s="210"/>
      <c r="V41" s="176"/>
      <c r="W41" s="210"/>
      <c r="X41" s="176"/>
      <c r="Y41" s="201"/>
    </row>
    <row r="42" spans="1:35" hidden="1" x14ac:dyDescent="0.25">
      <c r="A42" s="219"/>
      <c r="B42" s="200" t="s">
        <v>71</v>
      </c>
      <c r="C42" s="200">
        <f>+C40</f>
        <v>2014</v>
      </c>
      <c r="D42" s="200">
        <v>3</v>
      </c>
      <c r="E42" s="200">
        <f t="shared" si="2"/>
        <v>1</v>
      </c>
      <c r="F42" s="200">
        <f t="shared" si="3"/>
        <v>1</v>
      </c>
      <c r="G42" s="210"/>
      <c r="H42" s="200"/>
      <c r="I42" s="210"/>
      <c r="J42" s="200"/>
      <c r="K42" s="176"/>
      <c r="L42" s="176"/>
      <c r="M42" s="176">
        <f>IF(SUM(M$40:M41)=K$38,0,IF(SUM(L$40:L42)&lt;$V$13,L42,K$38-SUM(L$40:L41)))</f>
        <v>0</v>
      </c>
      <c r="N42" s="176">
        <f t="shared" si="9"/>
        <v>0</v>
      </c>
      <c r="O42" s="176">
        <f t="shared" si="4"/>
        <v>0</v>
      </c>
      <c r="P42" s="176">
        <f t="shared" si="5"/>
        <v>0</v>
      </c>
      <c r="Q42" s="176">
        <f t="shared" si="6"/>
        <v>0</v>
      </c>
      <c r="R42" s="176">
        <f t="shared" si="7"/>
        <v>0</v>
      </c>
      <c r="S42" s="176">
        <f t="shared" si="8"/>
        <v>0</v>
      </c>
      <c r="T42" s="176">
        <f>IF(SUM(L$40:L41)&lt;V$13,IF(SUM(L$40:L42)&lt;V$13,0,(SUM(L$40:L42)-V$13)),L42)</f>
        <v>0</v>
      </c>
      <c r="U42" s="210"/>
      <c r="V42" s="176"/>
      <c r="W42" s="210"/>
      <c r="X42" s="176"/>
      <c r="Y42" s="201"/>
    </row>
    <row r="43" spans="1:35" hidden="1" x14ac:dyDescent="0.25">
      <c r="A43" s="219"/>
      <c r="B43" s="200" t="s">
        <v>72</v>
      </c>
      <c r="C43" s="200">
        <f>+C40</f>
        <v>2014</v>
      </c>
      <c r="D43" s="200">
        <v>4</v>
      </c>
      <c r="E43" s="200">
        <f t="shared" si="2"/>
        <v>1</v>
      </c>
      <c r="F43" s="200">
        <f t="shared" si="3"/>
        <v>1</v>
      </c>
      <c r="G43" s="210"/>
      <c r="H43" s="200"/>
      <c r="I43" s="210"/>
      <c r="J43" s="200"/>
      <c r="K43" s="176"/>
      <c r="L43" s="176"/>
      <c r="M43" s="176">
        <f>IF(SUM(M$40:M42)=K$38,0,IF(SUM(L$40:L43)&lt;$V$13,L43,K$38-SUM(L$40:L42)))</f>
        <v>0</v>
      </c>
      <c r="N43" s="176">
        <f t="shared" si="9"/>
        <v>0</v>
      </c>
      <c r="O43" s="176">
        <f t="shared" si="4"/>
        <v>0</v>
      </c>
      <c r="P43" s="176">
        <f t="shared" si="5"/>
        <v>0</v>
      </c>
      <c r="Q43" s="176">
        <f t="shared" si="6"/>
        <v>0</v>
      </c>
      <c r="R43" s="176">
        <f t="shared" si="7"/>
        <v>0</v>
      </c>
      <c r="S43" s="176">
        <f t="shared" si="8"/>
        <v>0</v>
      </c>
      <c r="T43" s="176">
        <f>IF(SUM(L$40:L42)&lt;V$13,IF(SUM(L$40:L43)&lt;V$13,0,(SUM(L$40:L43)-V$13)),L43)</f>
        <v>0</v>
      </c>
      <c r="U43" s="210"/>
      <c r="V43" s="176"/>
      <c r="W43" s="210"/>
      <c r="X43" s="176"/>
      <c r="Y43" s="201"/>
    </row>
    <row r="44" spans="1:35" hidden="1" x14ac:dyDescent="0.25">
      <c r="A44" s="219">
        <v>2015</v>
      </c>
      <c r="B44" s="200" t="s">
        <v>69</v>
      </c>
      <c r="C44" s="200">
        <f>+A44</f>
        <v>2015</v>
      </c>
      <c r="D44" s="200">
        <v>5</v>
      </c>
      <c r="E44" s="200">
        <f t="shared" si="2"/>
        <v>1</v>
      </c>
      <c r="F44" s="200">
        <f t="shared" si="3"/>
        <v>1</v>
      </c>
      <c r="G44" s="210"/>
      <c r="H44" s="176">
        <f>+G44*F44</f>
        <v>0</v>
      </c>
      <c r="I44" s="210"/>
      <c r="J44" s="176">
        <f>+I44*F44</f>
        <v>0</v>
      </c>
      <c r="K44" s="176"/>
      <c r="L44" s="176"/>
      <c r="M44" s="176">
        <f>IF(SUM(M$40:M43)=K$38,0,IF(SUM(L$40:L44)&lt;$V$13,L44,K$38-SUM(L$40:L43)))</f>
        <v>0</v>
      </c>
      <c r="N44" s="176">
        <f t="shared" si="9"/>
        <v>0</v>
      </c>
      <c r="O44" s="176">
        <f t="shared" si="4"/>
        <v>0</v>
      </c>
      <c r="P44" s="176">
        <f t="shared" si="5"/>
        <v>0</v>
      </c>
      <c r="Q44" s="176">
        <f t="shared" si="6"/>
        <v>0</v>
      </c>
      <c r="R44" s="176">
        <f t="shared" si="7"/>
        <v>0</v>
      </c>
      <c r="S44" s="176">
        <f t="shared" si="8"/>
        <v>0</v>
      </c>
      <c r="T44" s="176">
        <f>IF(SUM(L$40:L43)&lt;V$13,IF(SUM(L$40:L44)&lt;V$13,0,(SUM(L$40:L44)-V$13)),L44)</f>
        <v>0</v>
      </c>
      <c r="U44" s="210">
        <f>SUM(T44:T47)</f>
        <v>0</v>
      </c>
      <c r="V44" s="176">
        <f>+U44*F44</f>
        <v>0</v>
      </c>
      <c r="W44" s="210"/>
      <c r="X44" s="176">
        <f>+W44*F44</f>
        <v>0</v>
      </c>
      <c r="Y44" s="201"/>
    </row>
    <row r="45" spans="1:35" hidden="1" x14ac:dyDescent="0.25">
      <c r="A45" s="219"/>
      <c r="B45" s="200" t="s">
        <v>70</v>
      </c>
      <c r="C45" s="200">
        <f>+C44</f>
        <v>2015</v>
      </c>
      <c r="D45" s="200">
        <v>6</v>
      </c>
      <c r="E45" s="200">
        <f t="shared" si="2"/>
        <v>1</v>
      </c>
      <c r="F45" s="200">
        <f t="shared" si="3"/>
        <v>1</v>
      </c>
      <c r="G45" s="210"/>
      <c r="H45" s="200"/>
      <c r="I45" s="210"/>
      <c r="J45" s="200"/>
      <c r="K45" s="176"/>
      <c r="L45" s="176"/>
      <c r="M45" s="176">
        <f>IF(SUM(M$40:M44)=K$38,0,IF(SUM(L$40:L45)&lt;$V$13,L45,K$38-SUM(L$40:L44)))</f>
        <v>0</v>
      </c>
      <c r="N45" s="176">
        <f t="shared" si="9"/>
        <v>0</v>
      </c>
      <c r="O45" s="176">
        <f t="shared" si="4"/>
        <v>0</v>
      </c>
      <c r="P45" s="176">
        <f t="shared" si="5"/>
        <v>0</v>
      </c>
      <c r="Q45" s="176">
        <f t="shared" si="6"/>
        <v>0</v>
      </c>
      <c r="R45" s="176">
        <f t="shared" si="7"/>
        <v>0</v>
      </c>
      <c r="S45" s="176">
        <f t="shared" si="8"/>
        <v>0</v>
      </c>
      <c r="T45" s="176">
        <f>IF(SUM(L$40:L44)&lt;V$13,IF(SUM(L$40:L45)&lt;V$13,0,(SUM(L$40:L45)-V$13)),L45)</f>
        <v>0</v>
      </c>
      <c r="U45" s="210"/>
      <c r="V45" s="176"/>
      <c r="W45" s="210"/>
      <c r="X45" s="176"/>
      <c r="Y45" s="201"/>
    </row>
    <row r="46" spans="1:35" hidden="1" x14ac:dyDescent="0.25">
      <c r="A46" s="219"/>
      <c r="B46" s="200" t="s">
        <v>71</v>
      </c>
      <c r="C46" s="200">
        <f>+C44</f>
        <v>2015</v>
      </c>
      <c r="D46" s="200">
        <v>7</v>
      </c>
      <c r="E46" s="200">
        <f t="shared" si="2"/>
        <v>1</v>
      </c>
      <c r="F46" s="200">
        <f t="shared" si="3"/>
        <v>1</v>
      </c>
      <c r="G46" s="210"/>
      <c r="H46" s="200"/>
      <c r="I46" s="210"/>
      <c r="J46" s="200"/>
      <c r="K46" s="176"/>
      <c r="L46" s="176"/>
      <c r="M46" s="176">
        <f>IF(SUM(M$40:M45)=K$38,0,IF(SUM(L$40:L46)&lt;$V$13,L46,K$38-SUM(L$40:L45)))</f>
        <v>0</v>
      </c>
      <c r="N46" s="176">
        <f t="shared" si="9"/>
        <v>0</v>
      </c>
      <c r="O46" s="176">
        <f t="shared" si="4"/>
        <v>0</v>
      </c>
      <c r="P46" s="176">
        <f t="shared" si="5"/>
        <v>0</v>
      </c>
      <c r="Q46" s="176">
        <f t="shared" si="6"/>
        <v>0</v>
      </c>
      <c r="R46" s="176">
        <f t="shared" si="7"/>
        <v>0</v>
      </c>
      <c r="S46" s="176">
        <f t="shared" si="8"/>
        <v>0</v>
      </c>
      <c r="T46" s="176">
        <f>IF(SUM(L$40:L45)&lt;V$13,IF(SUM(L$40:L46)&lt;V$13,0,(SUM(L$40:L46)-V$13)),L46)</f>
        <v>0</v>
      </c>
      <c r="U46" s="210"/>
      <c r="V46" s="176"/>
      <c r="W46" s="210"/>
      <c r="X46" s="176"/>
      <c r="Y46" s="201"/>
    </row>
    <row r="47" spans="1:35" hidden="1" x14ac:dyDescent="0.25">
      <c r="A47" s="219"/>
      <c r="B47" s="200" t="s">
        <v>72</v>
      </c>
      <c r="C47" s="200">
        <f>+C44</f>
        <v>2015</v>
      </c>
      <c r="D47" s="200">
        <v>8</v>
      </c>
      <c r="E47" s="200">
        <f t="shared" si="2"/>
        <v>1</v>
      </c>
      <c r="F47" s="200">
        <f t="shared" si="3"/>
        <v>1</v>
      </c>
      <c r="G47" s="210"/>
      <c r="H47" s="200"/>
      <c r="I47" s="210"/>
      <c r="J47" s="200"/>
      <c r="K47" s="176"/>
      <c r="L47" s="176"/>
      <c r="M47" s="176">
        <f>IF(SUM(M$40:M46)=K$38,0,IF(SUM(L$40:L47)&lt;$V$13,L47,K$38-SUM(L$40:L46)))</f>
        <v>0</v>
      </c>
      <c r="N47" s="176">
        <f t="shared" si="9"/>
        <v>0</v>
      </c>
      <c r="O47" s="176">
        <f t="shared" si="4"/>
        <v>0</v>
      </c>
      <c r="P47" s="176">
        <f t="shared" si="5"/>
        <v>0</v>
      </c>
      <c r="Q47" s="176">
        <f t="shared" si="6"/>
        <v>0</v>
      </c>
      <c r="R47" s="176">
        <f t="shared" si="7"/>
        <v>0</v>
      </c>
      <c r="S47" s="176">
        <f t="shared" si="8"/>
        <v>0</v>
      </c>
      <c r="T47" s="176">
        <f>IF(SUM(L$40:L46)&lt;V$13,IF(SUM(L$40:L47)&lt;V$13,0,(SUM(L$40:L47)-V$13)),L47)</f>
        <v>0</v>
      </c>
      <c r="U47" s="210"/>
      <c r="V47" s="176"/>
      <c r="W47" s="210"/>
      <c r="X47" s="176"/>
      <c r="Y47" s="201"/>
    </row>
    <row r="48" spans="1:35" hidden="1" x14ac:dyDescent="0.25">
      <c r="A48" s="219">
        <v>2016</v>
      </c>
      <c r="B48" s="200" t="s">
        <v>69</v>
      </c>
      <c r="C48" s="200">
        <f>+A48</f>
        <v>2016</v>
      </c>
      <c r="D48" s="200">
        <v>9</v>
      </c>
      <c r="E48" s="200">
        <f t="shared" si="2"/>
        <v>1</v>
      </c>
      <c r="F48" s="200">
        <f t="shared" si="3"/>
        <v>1</v>
      </c>
      <c r="G48" s="210"/>
      <c r="H48" s="176">
        <f>+G48*F48</f>
        <v>0</v>
      </c>
      <c r="I48" s="210"/>
      <c r="J48" s="176">
        <f>+I48*F48</f>
        <v>0</v>
      </c>
      <c r="K48" s="176"/>
      <c r="L48" s="176"/>
      <c r="M48" s="176">
        <f>IF(SUM(M$40:M47)=K$38,0,IF(SUM(L$40:L48)&lt;$V$13,L48,K$38-SUM(L$40:L47)))</f>
        <v>0</v>
      </c>
      <c r="N48" s="176">
        <f t="shared" si="9"/>
        <v>0</v>
      </c>
      <c r="O48" s="176">
        <f t="shared" si="4"/>
        <v>0</v>
      </c>
      <c r="P48" s="176">
        <f t="shared" si="5"/>
        <v>0</v>
      </c>
      <c r="Q48" s="176">
        <f t="shared" si="6"/>
        <v>0</v>
      </c>
      <c r="R48" s="176">
        <f t="shared" si="7"/>
        <v>0</v>
      </c>
      <c r="S48" s="176">
        <f t="shared" si="8"/>
        <v>0</v>
      </c>
      <c r="T48" s="176">
        <f>IF(SUM(L$40:L47)&lt;V$13,IF(SUM(L$40:L48)&lt;V$13,0,(SUM(L$40:L48)-V$13)),L48)</f>
        <v>0</v>
      </c>
      <c r="U48" s="210">
        <f>SUM(T48:T51)</f>
        <v>0</v>
      </c>
      <c r="V48" s="176">
        <f>+U48*F48</f>
        <v>0</v>
      </c>
      <c r="W48" s="210"/>
      <c r="X48" s="176">
        <f>+W48*F48</f>
        <v>0</v>
      </c>
      <c r="Y48" s="201"/>
    </row>
    <row r="49" spans="1:27" hidden="1" x14ac:dyDescent="0.25">
      <c r="A49" s="219"/>
      <c r="B49" s="200" t="s">
        <v>70</v>
      </c>
      <c r="C49" s="200">
        <f>+C48</f>
        <v>2016</v>
      </c>
      <c r="D49" s="200">
        <v>10</v>
      </c>
      <c r="E49" s="200">
        <f t="shared" si="2"/>
        <v>1</v>
      </c>
      <c r="F49" s="200">
        <f t="shared" si="3"/>
        <v>1</v>
      </c>
      <c r="G49" s="210"/>
      <c r="H49" s="200"/>
      <c r="I49" s="210"/>
      <c r="J49" s="200"/>
      <c r="K49" s="176"/>
      <c r="L49" s="176"/>
      <c r="M49" s="176">
        <f>IF(SUM(M$40:M48)=K$38,0,IF(SUM(L$40:L49)&lt;$V$13,L49,K$38-SUM(L$40:L48)))</f>
        <v>0</v>
      </c>
      <c r="N49" s="176">
        <f t="shared" si="9"/>
        <v>0</v>
      </c>
      <c r="O49" s="176">
        <f t="shared" si="4"/>
        <v>0</v>
      </c>
      <c r="P49" s="176">
        <f t="shared" si="5"/>
        <v>0</v>
      </c>
      <c r="Q49" s="176">
        <f t="shared" si="6"/>
        <v>0</v>
      </c>
      <c r="R49" s="176">
        <f t="shared" si="7"/>
        <v>0</v>
      </c>
      <c r="S49" s="176">
        <f t="shared" si="8"/>
        <v>0</v>
      </c>
      <c r="T49" s="176">
        <f>IF(SUM(L$40:L48)&lt;V$13,IF(SUM(L$40:L49)&lt;V$13,0,(SUM(L$40:L49)-V$13)),L49)</f>
        <v>0</v>
      </c>
      <c r="U49" s="210"/>
      <c r="V49" s="176"/>
      <c r="W49" s="210"/>
      <c r="X49" s="176"/>
      <c r="Y49" s="201"/>
    </row>
    <row r="50" spans="1:27" hidden="1" x14ac:dyDescent="0.25">
      <c r="A50" s="219"/>
      <c r="B50" s="200" t="s">
        <v>71</v>
      </c>
      <c r="C50" s="200">
        <f>+C48</f>
        <v>2016</v>
      </c>
      <c r="D50" s="200">
        <v>11</v>
      </c>
      <c r="E50" s="200">
        <f t="shared" si="2"/>
        <v>1</v>
      </c>
      <c r="F50" s="200">
        <f t="shared" si="3"/>
        <v>1</v>
      </c>
      <c r="G50" s="210"/>
      <c r="H50" s="200"/>
      <c r="I50" s="210"/>
      <c r="J50" s="200"/>
      <c r="K50" s="176"/>
      <c r="L50" s="176"/>
      <c r="M50" s="176">
        <f>IF(SUM(M$40:M49)=K$38,0,IF(SUM(L$40:L50)&lt;$V$13,L50,K$38-SUM(L$40:L49)))</f>
        <v>0</v>
      </c>
      <c r="N50" s="176">
        <f t="shared" si="9"/>
        <v>0</v>
      </c>
      <c r="O50" s="176">
        <f t="shared" si="4"/>
        <v>0</v>
      </c>
      <c r="P50" s="176">
        <f t="shared" si="5"/>
        <v>0</v>
      </c>
      <c r="Q50" s="176">
        <f t="shared" si="6"/>
        <v>0</v>
      </c>
      <c r="R50" s="176">
        <f t="shared" si="7"/>
        <v>0</v>
      </c>
      <c r="S50" s="176">
        <f t="shared" si="8"/>
        <v>0</v>
      </c>
      <c r="T50" s="176">
        <f>IF(SUM(L$40:L49)&lt;V$13,IF(SUM(L$40:L50)&lt;V$13,0,(SUM(L$40:L50)-V$13)),L50)</f>
        <v>0</v>
      </c>
      <c r="U50" s="210"/>
      <c r="V50" s="176"/>
      <c r="W50" s="210"/>
      <c r="X50" s="176"/>
      <c r="Y50" s="201"/>
    </row>
    <row r="51" spans="1:27" hidden="1" x14ac:dyDescent="0.25">
      <c r="A51" s="219"/>
      <c r="B51" s="200" t="s">
        <v>72</v>
      </c>
      <c r="C51" s="200">
        <f>+C48</f>
        <v>2016</v>
      </c>
      <c r="D51" s="200">
        <v>12</v>
      </c>
      <c r="E51" s="200">
        <f t="shared" si="2"/>
        <v>1</v>
      </c>
      <c r="F51" s="200">
        <f t="shared" si="3"/>
        <v>1</v>
      </c>
      <c r="G51" s="210"/>
      <c r="H51" s="200"/>
      <c r="I51" s="210"/>
      <c r="J51" s="200"/>
      <c r="K51" s="176"/>
      <c r="L51" s="176"/>
      <c r="M51" s="176">
        <f>IF(SUM(M$40:M50)=K$38,0,IF(SUM(L$40:L51)&lt;$V$13,L51,K$38-SUM(L$40:L50)))</f>
        <v>0</v>
      </c>
      <c r="N51" s="176">
        <f t="shared" si="9"/>
        <v>0</v>
      </c>
      <c r="O51" s="176">
        <f t="shared" si="4"/>
        <v>0</v>
      </c>
      <c r="P51" s="176">
        <f t="shared" si="5"/>
        <v>0</v>
      </c>
      <c r="Q51" s="176">
        <f t="shared" si="6"/>
        <v>0</v>
      </c>
      <c r="R51" s="176">
        <f t="shared" si="7"/>
        <v>0</v>
      </c>
      <c r="S51" s="176">
        <f t="shared" si="8"/>
        <v>0</v>
      </c>
      <c r="T51" s="176">
        <f>IF(SUM(L$40:L50)&lt;V$13,IF(SUM(L$40:L51)&lt;V$13,0,(SUM(L$40:L51)-V$13)),L51)</f>
        <v>0</v>
      </c>
      <c r="U51" s="210"/>
      <c r="V51" s="176"/>
      <c r="W51" s="210"/>
      <c r="X51" s="176"/>
      <c r="Y51" s="201"/>
    </row>
    <row r="52" spans="1:27" hidden="1" x14ac:dyDescent="0.25">
      <c r="A52" s="219">
        <v>2017</v>
      </c>
      <c r="B52" s="200" t="s">
        <v>69</v>
      </c>
      <c r="C52" s="200">
        <f>+A52</f>
        <v>2017</v>
      </c>
      <c r="D52" s="200">
        <v>13</v>
      </c>
      <c r="E52" s="200">
        <f t="shared" si="2"/>
        <v>1</v>
      </c>
      <c r="F52" s="200">
        <f t="shared" si="3"/>
        <v>1</v>
      </c>
      <c r="G52" s="210"/>
      <c r="H52" s="176">
        <f>+G52*F52</f>
        <v>0</v>
      </c>
      <c r="I52" s="210"/>
      <c r="J52" s="176">
        <f>+I52*F52</f>
        <v>0</v>
      </c>
      <c r="K52" s="176"/>
      <c r="L52" s="176"/>
      <c r="M52" s="176">
        <f>IF(SUM(M$40:M51)=K$38,0,IF(SUM(L$40:L52)&lt;$V$13,L52,K$38-SUM(L$40:L51)))</f>
        <v>0</v>
      </c>
      <c r="N52" s="176">
        <f t="shared" si="9"/>
        <v>0</v>
      </c>
      <c r="O52" s="176">
        <f t="shared" si="4"/>
        <v>0</v>
      </c>
      <c r="P52" s="176">
        <f t="shared" si="5"/>
        <v>0</v>
      </c>
      <c r="Q52" s="176">
        <f t="shared" si="6"/>
        <v>0</v>
      </c>
      <c r="R52" s="176">
        <f t="shared" si="7"/>
        <v>0</v>
      </c>
      <c r="S52" s="176">
        <f t="shared" si="8"/>
        <v>0</v>
      </c>
      <c r="T52" s="176">
        <f>IF(SUM(L$40:L51)&lt;V$13,IF(SUM(L$40:L52)&lt;V$13,0,(SUM(L$40:L52)-V$13)),L52)</f>
        <v>0</v>
      </c>
      <c r="U52" s="210">
        <f>SUM(T52:T55)</f>
        <v>0</v>
      </c>
      <c r="V52" s="176">
        <f>+U52*F52</f>
        <v>0</v>
      </c>
      <c r="W52" s="210"/>
      <c r="X52" s="176">
        <f>+W52*F52</f>
        <v>0</v>
      </c>
      <c r="Y52" s="201"/>
    </row>
    <row r="53" spans="1:27" hidden="1" x14ac:dyDescent="0.25">
      <c r="A53" s="219"/>
      <c r="B53" s="200" t="s">
        <v>70</v>
      </c>
      <c r="C53" s="200">
        <f>+C52</f>
        <v>2017</v>
      </c>
      <c r="D53" s="200">
        <v>14</v>
      </c>
      <c r="E53" s="200">
        <f t="shared" si="2"/>
        <v>1</v>
      </c>
      <c r="F53" s="200">
        <f t="shared" si="3"/>
        <v>1</v>
      </c>
      <c r="G53" s="210"/>
      <c r="H53" s="200"/>
      <c r="I53" s="210"/>
      <c r="J53" s="200"/>
      <c r="K53" s="176"/>
      <c r="L53" s="176"/>
      <c r="M53" s="176">
        <f>IF(SUM(M$40:M52)=K$38,0,IF(SUM(L$40:L53)&lt;$V$13,L53,K$38-SUM(L$40:L52)))</f>
        <v>0</v>
      </c>
      <c r="N53" s="176">
        <f t="shared" si="9"/>
        <v>0</v>
      </c>
      <c r="O53" s="176">
        <f t="shared" si="4"/>
        <v>0</v>
      </c>
      <c r="P53" s="176">
        <f t="shared" si="5"/>
        <v>0</v>
      </c>
      <c r="Q53" s="176">
        <f t="shared" si="6"/>
        <v>0</v>
      </c>
      <c r="R53" s="176">
        <f t="shared" si="7"/>
        <v>0</v>
      </c>
      <c r="S53" s="176">
        <f t="shared" si="8"/>
        <v>0</v>
      </c>
      <c r="T53" s="176">
        <f>IF(SUM(L$40:L52)&lt;V$13,IF(SUM(L$40:L53)&lt;V$13,0,(SUM(L$40:L53)-V$13)),L53)</f>
        <v>0</v>
      </c>
      <c r="U53" s="210"/>
      <c r="V53" s="176"/>
      <c r="W53" s="210"/>
      <c r="X53" s="176"/>
      <c r="Y53" s="201"/>
    </row>
    <row r="54" spans="1:27" hidden="1" x14ac:dyDescent="0.25">
      <c r="A54" s="219"/>
      <c r="B54" s="200" t="s">
        <v>71</v>
      </c>
      <c r="C54" s="200">
        <f>+C52</f>
        <v>2017</v>
      </c>
      <c r="D54" s="200">
        <v>15</v>
      </c>
      <c r="E54" s="200">
        <f t="shared" si="2"/>
        <v>1</v>
      </c>
      <c r="F54" s="200">
        <f t="shared" si="3"/>
        <v>1</v>
      </c>
      <c r="G54" s="210"/>
      <c r="H54" s="200"/>
      <c r="I54" s="210"/>
      <c r="J54" s="200"/>
      <c r="K54" s="176"/>
      <c r="L54" s="176"/>
      <c r="M54" s="176">
        <f>IF(SUM(M$40:M53)=K$38,0,IF(SUM(L$40:L54)&lt;$V$13,L54,K$38-SUM(L$40:L53)))</f>
        <v>0</v>
      </c>
      <c r="N54" s="176">
        <f t="shared" si="9"/>
        <v>0</v>
      </c>
      <c r="O54" s="176">
        <f t="shared" si="4"/>
        <v>0</v>
      </c>
      <c r="P54" s="176">
        <f t="shared" si="5"/>
        <v>0</v>
      </c>
      <c r="Q54" s="176">
        <f t="shared" si="6"/>
        <v>0</v>
      </c>
      <c r="R54" s="176">
        <f t="shared" si="7"/>
        <v>0</v>
      </c>
      <c r="S54" s="176">
        <f t="shared" si="8"/>
        <v>0</v>
      </c>
      <c r="T54" s="176">
        <f>IF(SUM(L$40:L53)&lt;V$13,IF(SUM(L$40:L54)&lt;V$13,0,(SUM(L$40:L54)-V$13)),L54)</f>
        <v>0</v>
      </c>
      <c r="U54" s="210"/>
      <c r="V54" s="176"/>
      <c r="W54" s="210"/>
      <c r="X54" s="176"/>
      <c r="Y54" s="201"/>
    </row>
    <row r="55" spans="1:27" hidden="1" x14ac:dyDescent="0.25">
      <c r="A55" s="219"/>
      <c r="B55" s="200" t="s">
        <v>72</v>
      </c>
      <c r="C55" s="200">
        <f>+C52</f>
        <v>2017</v>
      </c>
      <c r="D55" s="200">
        <v>16</v>
      </c>
      <c r="E55" s="200">
        <f t="shared" si="2"/>
        <v>1</v>
      </c>
      <c r="F55" s="200">
        <f t="shared" si="3"/>
        <v>1</v>
      </c>
      <c r="G55" s="210"/>
      <c r="H55" s="200"/>
      <c r="I55" s="210"/>
      <c r="J55" s="200"/>
      <c r="K55" s="176"/>
      <c r="L55" s="176"/>
      <c r="M55" s="176">
        <f>IF(SUM(M$40:M54)=K$38,0,IF(SUM(L$40:L55)&lt;$V$13,L55,K$38-SUM(L$40:L54)))</f>
        <v>0</v>
      </c>
      <c r="N55" s="176">
        <f t="shared" si="9"/>
        <v>0</v>
      </c>
      <c r="O55" s="176">
        <f t="shared" si="4"/>
        <v>0</v>
      </c>
      <c r="P55" s="176">
        <f t="shared" si="5"/>
        <v>0</v>
      </c>
      <c r="Q55" s="176">
        <f t="shared" si="6"/>
        <v>0</v>
      </c>
      <c r="R55" s="176">
        <f t="shared" si="7"/>
        <v>0</v>
      </c>
      <c r="S55" s="176">
        <f t="shared" si="8"/>
        <v>0</v>
      </c>
      <c r="T55" s="176">
        <f>IF(SUM(L$40:L54)&lt;V$13,IF(SUM(L$40:L55)&lt;V$13,0,(SUM(L$40:L55)-V$13)),L55)</f>
        <v>0</v>
      </c>
      <c r="U55" s="210"/>
      <c r="V55" s="176"/>
      <c r="W55" s="210"/>
      <c r="X55" s="176"/>
      <c r="Y55" s="201"/>
    </row>
    <row r="56" spans="1:27" hidden="1" x14ac:dyDescent="0.25">
      <c r="A56" s="219">
        <v>2018</v>
      </c>
      <c r="B56" s="200" t="s">
        <v>69</v>
      </c>
      <c r="C56" s="200">
        <f>+A56</f>
        <v>2018</v>
      </c>
      <c r="D56" s="200">
        <v>17</v>
      </c>
      <c r="E56" s="200">
        <f t="shared" si="2"/>
        <v>1</v>
      </c>
      <c r="F56" s="200">
        <f t="shared" si="3"/>
        <v>1</v>
      </c>
      <c r="G56" s="210"/>
      <c r="H56" s="176">
        <f>+G56*F56</f>
        <v>0</v>
      </c>
      <c r="I56" s="210"/>
      <c r="J56" s="176">
        <f>+I56*F56</f>
        <v>0</v>
      </c>
      <c r="K56" s="176"/>
      <c r="L56" s="176"/>
      <c r="M56" s="176">
        <f>IF(SUM(M$40:M55)=K$38,0,IF(SUM(L$40:L56)&lt;$V$13,L56,K$38-SUM(L$40:L55)))</f>
        <v>0</v>
      </c>
      <c r="N56" s="176">
        <f t="shared" si="9"/>
        <v>0</v>
      </c>
      <c r="O56" s="176">
        <f t="shared" si="4"/>
        <v>0</v>
      </c>
      <c r="P56" s="176">
        <f t="shared" si="5"/>
        <v>0</v>
      </c>
      <c r="Q56" s="176">
        <f t="shared" si="6"/>
        <v>0</v>
      </c>
      <c r="R56" s="176">
        <f t="shared" si="7"/>
        <v>0</v>
      </c>
      <c r="S56" s="176">
        <f t="shared" si="8"/>
        <v>0</v>
      </c>
      <c r="T56" s="176">
        <f>IF(SUM(L$40:L55)&lt;V$13,IF(SUM(L$40:L56)&lt;V$13,0,(SUM(L$40:L56)-V$13)),L56)</f>
        <v>0</v>
      </c>
      <c r="U56" s="210">
        <f>SUM(T56:T59)</f>
        <v>0</v>
      </c>
      <c r="V56" s="176">
        <f>+U56*F56</f>
        <v>0</v>
      </c>
      <c r="W56" s="210"/>
      <c r="X56" s="176">
        <f>+W56*F56</f>
        <v>0</v>
      </c>
      <c r="Y56" s="201"/>
    </row>
    <row r="57" spans="1:27" hidden="1" x14ac:dyDescent="0.25">
      <c r="A57" s="219"/>
      <c r="B57" s="200" t="s">
        <v>70</v>
      </c>
      <c r="C57" s="200">
        <f>+C56</f>
        <v>2018</v>
      </c>
      <c r="D57" s="200">
        <v>18</v>
      </c>
      <c r="E57" s="200">
        <f t="shared" si="2"/>
        <v>1</v>
      </c>
      <c r="F57" s="200">
        <f t="shared" si="3"/>
        <v>1</v>
      </c>
      <c r="G57" s="210"/>
      <c r="H57" s="200"/>
      <c r="I57" s="210"/>
      <c r="J57" s="200"/>
      <c r="K57" s="176"/>
      <c r="L57" s="176"/>
      <c r="M57" s="176">
        <f>IF(SUM(M$40:M56)=K$38,0,IF(SUM(L$40:L57)&lt;$V$13,L57,K$38-SUM(L$40:L56)))</f>
        <v>0</v>
      </c>
      <c r="N57" s="176">
        <f t="shared" si="9"/>
        <v>0</v>
      </c>
      <c r="O57" s="176">
        <f t="shared" si="4"/>
        <v>0</v>
      </c>
      <c r="P57" s="176">
        <f t="shared" si="5"/>
        <v>0</v>
      </c>
      <c r="Q57" s="176">
        <f t="shared" si="6"/>
        <v>0</v>
      </c>
      <c r="R57" s="176">
        <f t="shared" si="7"/>
        <v>0</v>
      </c>
      <c r="S57" s="176">
        <f t="shared" si="8"/>
        <v>0</v>
      </c>
      <c r="T57" s="176">
        <f>IF(SUM(L$40:L56)&lt;V$13,IF(SUM(L$40:L57)&lt;V$13,0,(SUM(L$40:L57)-V$13)),L57)</f>
        <v>0</v>
      </c>
      <c r="U57" s="210"/>
      <c r="V57" s="176"/>
      <c r="W57" s="210"/>
      <c r="X57" s="176"/>
      <c r="Y57" s="201"/>
    </row>
    <row r="58" spans="1:27" hidden="1" x14ac:dyDescent="0.25">
      <c r="A58" s="219"/>
      <c r="B58" s="200" t="s">
        <v>71</v>
      </c>
      <c r="C58" s="200">
        <f>+C56</f>
        <v>2018</v>
      </c>
      <c r="D58" s="200">
        <v>19</v>
      </c>
      <c r="E58" s="200">
        <f t="shared" si="2"/>
        <v>1</v>
      </c>
      <c r="F58" s="200">
        <f t="shared" si="3"/>
        <v>1</v>
      </c>
      <c r="G58" s="210"/>
      <c r="H58" s="200"/>
      <c r="I58" s="210"/>
      <c r="J58" s="200"/>
      <c r="K58" s="176"/>
      <c r="L58" s="176"/>
      <c r="M58" s="176">
        <f>IF(SUM(M$40:M57)=K$38,0,IF(SUM(L$40:L58)&lt;$V$13,L58,K$38-SUM(L$40:L57)))</f>
        <v>0</v>
      </c>
      <c r="N58" s="176">
        <f t="shared" si="9"/>
        <v>0</v>
      </c>
      <c r="O58" s="176">
        <f t="shared" si="4"/>
        <v>0</v>
      </c>
      <c r="P58" s="176">
        <f t="shared" si="5"/>
        <v>0</v>
      </c>
      <c r="Q58" s="176">
        <f t="shared" si="6"/>
        <v>0</v>
      </c>
      <c r="R58" s="176">
        <f t="shared" si="7"/>
        <v>0</v>
      </c>
      <c r="S58" s="176">
        <f t="shared" si="8"/>
        <v>0</v>
      </c>
      <c r="T58" s="176">
        <f>IF(SUM(L$40:L57)&lt;V$13,IF(SUM(L$40:L58)&lt;V$13,0,(SUM(L$40:L58)-V$13)),L58)</f>
        <v>0</v>
      </c>
      <c r="U58" s="210"/>
      <c r="V58" s="176"/>
      <c r="W58" s="210"/>
      <c r="X58" s="176"/>
      <c r="Y58" s="201"/>
    </row>
    <row r="59" spans="1:27" hidden="1" x14ac:dyDescent="0.25">
      <c r="A59" s="219"/>
      <c r="B59" s="200" t="s">
        <v>72</v>
      </c>
      <c r="C59" s="200">
        <f>+C56</f>
        <v>2018</v>
      </c>
      <c r="D59" s="200">
        <v>20</v>
      </c>
      <c r="E59" s="200">
        <f t="shared" si="2"/>
        <v>1</v>
      </c>
      <c r="F59" s="200">
        <f t="shared" si="3"/>
        <v>1</v>
      </c>
      <c r="G59" s="210"/>
      <c r="H59" s="200"/>
      <c r="I59" s="210"/>
      <c r="J59" s="200"/>
      <c r="K59" s="176"/>
      <c r="L59" s="176"/>
      <c r="M59" s="176">
        <f>IF(SUM(M$40:M58)=K$38,0,IF(SUM(L$40:L59)&lt;$V$13,L59,K$38-SUM(L$40:L58)))</f>
        <v>0</v>
      </c>
      <c r="N59" s="176">
        <f t="shared" si="9"/>
        <v>0</v>
      </c>
      <c r="O59" s="176">
        <f t="shared" si="4"/>
        <v>0</v>
      </c>
      <c r="P59" s="176">
        <f t="shared" si="5"/>
        <v>0</v>
      </c>
      <c r="Q59" s="176">
        <f t="shared" si="6"/>
        <v>0</v>
      </c>
      <c r="R59" s="176">
        <f t="shared" si="7"/>
        <v>0</v>
      </c>
      <c r="S59" s="176">
        <f t="shared" si="8"/>
        <v>0</v>
      </c>
      <c r="T59" s="176">
        <f>IF(SUM(L$40:L58)&lt;V$13,IF(SUM(L$40:L59)&lt;V$13,0,(SUM(L$40:L59)-V$13)),L59)</f>
        <v>0</v>
      </c>
      <c r="U59" s="210"/>
      <c r="V59" s="176"/>
      <c r="W59" s="210"/>
      <c r="X59" s="176"/>
      <c r="Y59" s="201"/>
      <c r="AA59" s="164"/>
    </row>
    <row r="60" spans="1:27" hidden="1" x14ac:dyDescent="0.25">
      <c r="A60" s="219">
        <v>2019</v>
      </c>
      <c r="B60" s="200" t="s">
        <v>69</v>
      </c>
      <c r="C60" s="200">
        <f>+A60</f>
        <v>2019</v>
      </c>
      <c r="D60" s="200">
        <v>21</v>
      </c>
      <c r="E60" s="200">
        <f t="shared" si="2"/>
        <v>1</v>
      </c>
      <c r="F60" s="200">
        <f t="shared" si="3"/>
        <v>1</v>
      </c>
      <c r="G60" s="210"/>
      <c r="H60" s="176">
        <f>+G60*F60</f>
        <v>0</v>
      </c>
      <c r="I60" s="210"/>
      <c r="J60" s="176">
        <f>+I60*F60</f>
        <v>0</v>
      </c>
      <c r="K60" s="176"/>
      <c r="L60" s="176"/>
      <c r="M60" s="176">
        <f>IF(SUM(M$40:M59)=K$38,0,IF(SUM(L$40:L60)&lt;$V$13,L60,K$38-SUM(L$40:L59)))</f>
        <v>0</v>
      </c>
      <c r="N60" s="176">
        <f t="shared" si="9"/>
        <v>0</v>
      </c>
      <c r="O60" s="176">
        <f t="shared" si="4"/>
        <v>0</v>
      </c>
      <c r="P60" s="176">
        <f t="shared" si="5"/>
        <v>0</v>
      </c>
      <c r="Q60" s="176">
        <f t="shared" si="6"/>
        <v>0</v>
      </c>
      <c r="R60" s="176">
        <f t="shared" si="7"/>
        <v>0</v>
      </c>
      <c r="S60" s="176">
        <f t="shared" si="8"/>
        <v>0</v>
      </c>
      <c r="T60" s="176">
        <f>IF(SUM(L$40:L59)&lt;V$13,IF(SUM(L$40:L60)&lt;V$13,0,(SUM(L$40:L60)-V$13)),L60)</f>
        <v>0</v>
      </c>
      <c r="U60" s="210">
        <f>SUM(T60:T63)</f>
        <v>0</v>
      </c>
      <c r="V60" s="176">
        <f>+U60*F60</f>
        <v>0</v>
      </c>
      <c r="W60" s="210"/>
      <c r="X60" s="176">
        <f>+W60*F60</f>
        <v>0</v>
      </c>
      <c r="Y60" s="201"/>
      <c r="AA60" s="164"/>
    </row>
    <row r="61" spans="1:27" hidden="1" x14ac:dyDescent="0.25">
      <c r="A61" s="219"/>
      <c r="B61" s="200" t="s">
        <v>70</v>
      </c>
      <c r="C61" s="200">
        <f>+C60</f>
        <v>2019</v>
      </c>
      <c r="D61" s="200">
        <v>22</v>
      </c>
      <c r="E61" s="200">
        <f t="shared" si="2"/>
        <v>1</v>
      </c>
      <c r="F61" s="200">
        <f t="shared" si="3"/>
        <v>1</v>
      </c>
      <c r="G61" s="210"/>
      <c r="H61" s="200"/>
      <c r="I61" s="210"/>
      <c r="J61" s="200"/>
      <c r="K61" s="176"/>
      <c r="L61" s="176"/>
      <c r="M61" s="176">
        <f>IF(SUM(M$40:M60)=K$38,0,IF(SUM(L$40:L61)&lt;$V$13,L61,K$38-SUM(L$40:L60)))</f>
        <v>0</v>
      </c>
      <c r="N61" s="176">
        <f t="shared" si="9"/>
        <v>0</v>
      </c>
      <c r="O61" s="176">
        <f t="shared" si="4"/>
        <v>0</v>
      </c>
      <c r="P61" s="176">
        <f t="shared" si="5"/>
        <v>0</v>
      </c>
      <c r="Q61" s="176">
        <f t="shared" si="6"/>
        <v>0</v>
      </c>
      <c r="R61" s="176">
        <f t="shared" si="7"/>
        <v>0</v>
      </c>
      <c r="S61" s="176">
        <f t="shared" si="8"/>
        <v>0</v>
      </c>
      <c r="T61" s="176">
        <f>IF(SUM(L$40:L60)&lt;V$13,IF(SUM(L$40:L61)&lt;V$13,0,(SUM(L$40:L61)-V$13)),L61)</f>
        <v>0</v>
      </c>
      <c r="U61" s="210"/>
      <c r="V61" s="176"/>
      <c r="W61" s="210"/>
      <c r="X61" s="176"/>
      <c r="Y61" s="201"/>
    </row>
    <row r="62" spans="1:27" hidden="1" x14ac:dyDescent="0.25">
      <c r="A62" s="219"/>
      <c r="B62" s="200" t="s">
        <v>71</v>
      </c>
      <c r="C62" s="200">
        <f>+C60</f>
        <v>2019</v>
      </c>
      <c r="D62" s="200">
        <v>23</v>
      </c>
      <c r="E62" s="200">
        <f t="shared" si="2"/>
        <v>1</v>
      </c>
      <c r="F62" s="200">
        <f t="shared" si="3"/>
        <v>1</v>
      </c>
      <c r="G62" s="210"/>
      <c r="H62" s="200"/>
      <c r="I62" s="210"/>
      <c r="J62" s="200"/>
      <c r="K62" s="176"/>
      <c r="L62" s="176"/>
      <c r="M62" s="176">
        <f>IF(SUM(M$40:M61)=K$38,0,IF(SUM(L$40:L62)&lt;$V$13,L62,K$38-SUM(L$40:L61)))</f>
        <v>0</v>
      </c>
      <c r="N62" s="176">
        <f t="shared" si="9"/>
        <v>0</v>
      </c>
      <c r="O62" s="176">
        <f t="shared" si="4"/>
        <v>0</v>
      </c>
      <c r="P62" s="176">
        <f t="shared" si="5"/>
        <v>0</v>
      </c>
      <c r="Q62" s="176">
        <f t="shared" si="6"/>
        <v>0</v>
      </c>
      <c r="R62" s="176">
        <f t="shared" si="7"/>
        <v>0</v>
      </c>
      <c r="S62" s="176">
        <f t="shared" si="8"/>
        <v>0</v>
      </c>
      <c r="T62" s="176">
        <f>IF(SUM(L$40:L61)&lt;V$13,IF(SUM(L$40:L62)&lt;V$13,0,(SUM(L$40:L62)-V$13)),L62)</f>
        <v>0</v>
      </c>
      <c r="U62" s="210"/>
      <c r="V62" s="176"/>
      <c r="W62" s="210"/>
      <c r="X62" s="176"/>
      <c r="Y62" s="201"/>
      <c r="AA62" s="164"/>
    </row>
    <row r="63" spans="1:27" hidden="1" x14ac:dyDescent="0.25">
      <c r="A63" s="219"/>
      <c r="B63" s="200" t="s">
        <v>72</v>
      </c>
      <c r="C63" s="200">
        <f>+C60</f>
        <v>2019</v>
      </c>
      <c r="D63" s="200">
        <v>24</v>
      </c>
      <c r="E63" s="200">
        <f t="shared" si="2"/>
        <v>1</v>
      </c>
      <c r="F63" s="200">
        <f t="shared" si="3"/>
        <v>1</v>
      </c>
      <c r="G63" s="210"/>
      <c r="H63" s="200"/>
      <c r="I63" s="210"/>
      <c r="J63" s="200"/>
      <c r="K63" s="176"/>
      <c r="L63" s="176"/>
      <c r="M63" s="176">
        <f>IF(SUM(M$40:M62)=K$38,0,IF(SUM(L$40:L63)&lt;$V$13,L63,K$38-SUM(L$40:L62)))</f>
        <v>0</v>
      </c>
      <c r="N63" s="176">
        <f t="shared" si="9"/>
        <v>0</v>
      </c>
      <c r="O63" s="176">
        <f t="shared" si="4"/>
        <v>0</v>
      </c>
      <c r="P63" s="176">
        <f t="shared" si="5"/>
        <v>0</v>
      </c>
      <c r="Q63" s="176">
        <f t="shared" si="6"/>
        <v>0</v>
      </c>
      <c r="R63" s="176">
        <f t="shared" si="7"/>
        <v>0</v>
      </c>
      <c r="S63" s="176">
        <f t="shared" si="8"/>
        <v>0</v>
      </c>
      <c r="T63" s="176">
        <f>IF(SUM(L$40:L62)&lt;V$13,IF(SUM(L$40:L63)&lt;V$13,0,(SUM(L$40:L63)-V$13)),L63)</f>
        <v>0</v>
      </c>
      <c r="U63" s="210"/>
      <c r="V63" s="176"/>
      <c r="W63" s="210"/>
      <c r="X63" s="176"/>
      <c r="Y63" s="201"/>
      <c r="AA63" s="164"/>
    </row>
    <row r="64" spans="1:27" hidden="1" x14ac:dyDescent="0.25">
      <c r="A64" s="219">
        <v>2020</v>
      </c>
      <c r="B64" s="200" t="s">
        <v>69</v>
      </c>
      <c r="C64" s="200">
        <f>+A64</f>
        <v>2020</v>
      </c>
      <c r="D64" s="200">
        <v>25</v>
      </c>
      <c r="E64" s="200">
        <f t="shared" si="2"/>
        <v>1</v>
      </c>
      <c r="F64" s="200">
        <f t="shared" si="3"/>
        <v>1</v>
      </c>
      <c r="G64" s="210"/>
      <c r="H64" s="176">
        <f>+G64*F64</f>
        <v>0</v>
      </c>
      <c r="I64" s="210"/>
      <c r="J64" s="176">
        <f>+I64*F64</f>
        <v>0</v>
      </c>
      <c r="K64" s="176"/>
      <c r="L64" s="176"/>
      <c r="M64" s="176">
        <f>IF(SUM(M$40:M63)=K$38,0,IF(SUM(L$40:L64)&lt;$V$13,L64,K$38-SUM(L$40:L63)))</f>
        <v>0</v>
      </c>
      <c r="N64" s="176">
        <f t="shared" si="9"/>
        <v>0</v>
      </c>
      <c r="O64" s="176">
        <f t="shared" si="4"/>
        <v>0</v>
      </c>
      <c r="P64" s="176">
        <f t="shared" si="5"/>
        <v>0</v>
      </c>
      <c r="Q64" s="176">
        <f t="shared" si="6"/>
        <v>0</v>
      </c>
      <c r="R64" s="176">
        <f t="shared" si="7"/>
        <v>0</v>
      </c>
      <c r="S64" s="176">
        <f t="shared" si="8"/>
        <v>0</v>
      </c>
      <c r="T64" s="176">
        <f>IF(SUM(L$40:L63)&lt;V$13,IF(SUM(L$40:L64)&lt;V$13,0,(SUM(L$40:L64)-V$13)),L64)</f>
        <v>0</v>
      </c>
      <c r="U64" s="210">
        <f>SUM(T64:T67)</f>
        <v>0</v>
      </c>
      <c r="V64" s="176">
        <f>+U64*F64</f>
        <v>0</v>
      </c>
      <c r="W64" s="210"/>
      <c r="X64" s="176">
        <f>+W64*F64</f>
        <v>0</v>
      </c>
      <c r="Y64" s="201"/>
    </row>
    <row r="65" spans="1:25" hidden="1" x14ac:dyDescent="0.25">
      <c r="A65" s="219"/>
      <c r="B65" s="200" t="s">
        <v>70</v>
      </c>
      <c r="C65" s="200">
        <f>+C64</f>
        <v>2020</v>
      </c>
      <c r="D65" s="200">
        <v>26</v>
      </c>
      <c r="E65" s="200">
        <f t="shared" si="2"/>
        <v>1</v>
      </c>
      <c r="F65" s="200">
        <f t="shared" si="3"/>
        <v>1</v>
      </c>
      <c r="G65" s="210"/>
      <c r="H65" s="200"/>
      <c r="I65" s="210"/>
      <c r="J65" s="200"/>
      <c r="K65" s="176"/>
      <c r="L65" s="176"/>
      <c r="M65" s="176">
        <f>IF(SUM(M$40:M64)=K$38,0,IF(SUM(L$40:L65)&lt;$V$13,L65,K$38-SUM(L$40:L64)))</f>
        <v>0</v>
      </c>
      <c r="N65" s="176">
        <f t="shared" si="9"/>
        <v>0</v>
      </c>
      <c r="O65" s="176">
        <f t="shared" si="4"/>
        <v>0</v>
      </c>
      <c r="P65" s="176">
        <f t="shared" si="5"/>
        <v>0</v>
      </c>
      <c r="Q65" s="176">
        <f t="shared" si="6"/>
        <v>0</v>
      </c>
      <c r="R65" s="176">
        <f t="shared" si="7"/>
        <v>0</v>
      </c>
      <c r="S65" s="176">
        <f t="shared" si="8"/>
        <v>0</v>
      </c>
      <c r="T65" s="176">
        <f>IF(SUM(L$40:L64)&lt;V$13,IF(SUM(L$40:L65)&lt;V$13,0,(SUM(L$40:L65)-V$13)),L65)</f>
        <v>0</v>
      </c>
      <c r="U65" s="210"/>
      <c r="V65" s="176"/>
      <c r="W65" s="210"/>
      <c r="X65" s="176"/>
      <c r="Y65" s="201"/>
    </row>
    <row r="66" spans="1:25" hidden="1" x14ac:dyDescent="0.25">
      <c r="A66" s="219"/>
      <c r="B66" s="200" t="s">
        <v>71</v>
      </c>
      <c r="C66" s="200">
        <f>+C64</f>
        <v>2020</v>
      </c>
      <c r="D66" s="200">
        <v>27</v>
      </c>
      <c r="E66" s="200">
        <f t="shared" si="2"/>
        <v>1</v>
      </c>
      <c r="F66" s="200">
        <f t="shared" si="3"/>
        <v>1</v>
      </c>
      <c r="G66" s="210"/>
      <c r="H66" s="200"/>
      <c r="I66" s="210"/>
      <c r="J66" s="200"/>
      <c r="K66" s="176"/>
      <c r="L66" s="176"/>
      <c r="M66" s="176">
        <f>IF(SUM(M$40:M65)=K$38,0,IF(SUM(L$40:L66)&lt;$V$13,L66,K$38-SUM(L$40:L65)))</f>
        <v>0</v>
      </c>
      <c r="N66" s="176">
        <f t="shared" si="9"/>
        <v>0</v>
      </c>
      <c r="O66" s="176">
        <f t="shared" si="4"/>
        <v>0</v>
      </c>
      <c r="P66" s="176">
        <f t="shared" si="5"/>
        <v>0</v>
      </c>
      <c r="Q66" s="176">
        <f t="shared" si="6"/>
        <v>0</v>
      </c>
      <c r="R66" s="176">
        <f t="shared" si="7"/>
        <v>0</v>
      </c>
      <c r="S66" s="176">
        <f t="shared" si="8"/>
        <v>0</v>
      </c>
      <c r="T66" s="176">
        <f>IF(SUM(L$40:L65)&lt;V$13,IF(SUM(L$40:L66)&lt;V$13,0,(SUM(L$40:L66)-V$13)),L66)</f>
        <v>0</v>
      </c>
      <c r="U66" s="210"/>
      <c r="V66" s="176"/>
      <c r="W66" s="210"/>
      <c r="X66" s="176"/>
      <c r="Y66" s="201"/>
    </row>
    <row r="67" spans="1:25" hidden="1" x14ac:dyDescent="0.25">
      <c r="A67" s="219"/>
      <c r="B67" s="200" t="s">
        <v>72</v>
      </c>
      <c r="C67" s="200">
        <f>+C64</f>
        <v>2020</v>
      </c>
      <c r="D67" s="200">
        <v>28</v>
      </c>
      <c r="E67" s="200">
        <f t="shared" si="2"/>
        <v>1</v>
      </c>
      <c r="F67" s="200">
        <f t="shared" si="3"/>
        <v>1</v>
      </c>
      <c r="G67" s="210"/>
      <c r="H67" s="200"/>
      <c r="I67" s="210"/>
      <c r="J67" s="200"/>
      <c r="K67" s="176"/>
      <c r="L67" s="176"/>
      <c r="M67" s="176">
        <f>IF(SUM(M$40:M66)=K$38,0,IF(SUM(L$40:L67)&lt;$V$13,L67,K$38-SUM(L$40:L66)))</f>
        <v>0</v>
      </c>
      <c r="N67" s="176">
        <f t="shared" si="9"/>
        <v>0</v>
      </c>
      <c r="O67" s="176">
        <f t="shared" si="4"/>
        <v>0</v>
      </c>
      <c r="P67" s="176">
        <f t="shared" si="5"/>
        <v>0</v>
      </c>
      <c r="Q67" s="176">
        <f t="shared" si="6"/>
        <v>0</v>
      </c>
      <c r="R67" s="176">
        <f t="shared" si="7"/>
        <v>0</v>
      </c>
      <c r="S67" s="176">
        <f t="shared" si="8"/>
        <v>0</v>
      </c>
      <c r="T67" s="176">
        <f>IF(SUM(L$40:L66)&lt;V$13,IF(SUM(L$40:L67)&lt;V$13,0,(SUM(L$40:L67)-V$13)),L67)</f>
        <v>0</v>
      </c>
      <c r="U67" s="210"/>
      <c r="V67" s="176"/>
      <c r="W67" s="210"/>
      <c r="X67" s="176"/>
      <c r="Y67" s="201"/>
    </row>
    <row r="68" spans="1:25" hidden="1" x14ac:dyDescent="0.25">
      <c r="A68" s="219">
        <v>2021</v>
      </c>
      <c r="B68" s="200" t="s">
        <v>69</v>
      </c>
      <c r="C68" s="200">
        <f>+A68</f>
        <v>2021</v>
      </c>
      <c r="D68" s="200">
        <v>29</v>
      </c>
      <c r="E68" s="200">
        <f t="shared" si="2"/>
        <v>1</v>
      </c>
      <c r="F68" s="200">
        <f t="shared" si="3"/>
        <v>1</v>
      </c>
      <c r="G68" s="210"/>
      <c r="H68" s="176">
        <f>+G68*F68</f>
        <v>0</v>
      </c>
      <c r="I68" s="210"/>
      <c r="J68" s="176">
        <f>+I68*F68</f>
        <v>0</v>
      </c>
      <c r="K68" s="176"/>
      <c r="L68" s="176"/>
      <c r="M68" s="176">
        <f>IF(SUM(M$40:M67)=K$38,0,IF(SUM(L$40:L68)&lt;$V$13,L68,K$38-SUM(L$40:L67)))</f>
        <v>0</v>
      </c>
      <c r="N68" s="176">
        <f t="shared" si="9"/>
        <v>0</v>
      </c>
      <c r="O68" s="176">
        <f t="shared" si="4"/>
        <v>0</v>
      </c>
      <c r="P68" s="176">
        <f t="shared" si="5"/>
        <v>0</v>
      </c>
      <c r="Q68" s="176">
        <f t="shared" si="6"/>
        <v>0</v>
      </c>
      <c r="R68" s="176">
        <f t="shared" si="7"/>
        <v>0</v>
      </c>
      <c r="S68" s="176">
        <f t="shared" si="8"/>
        <v>0</v>
      </c>
      <c r="T68" s="176">
        <f>IF(SUM(L$40:L67)&lt;V$13,IF(SUM(L$40:L68)&lt;V$13,0,(SUM(L$40:L68)-V$13)),L68)</f>
        <v>0</v>
      </c>
      <c r="U68" s="210">
        <f>SUM(T68:T71)</f>
        <v>0</v>
      </c>
      <c r="V68" s="176">
        <f>+U68*F68</f>
        <v>0</v>
      </c>
      <c r="W68" s="210"/>
      <c r="X68" s="176">
        <f>+W68*F68</f>
        <v>0</v>
      </c>
      <c r="Y68" s="201"/>
    </row>
    <row r="69" spans="1:25" hidden="1" x14ac:dyDescent="0.25">
      <c r="A69" s="219"/>
      <c r="B69" s="200" t="s">
        <v>70</v>
      </c>
      <c r="C69" s="200">
        <f>+C68</f>
        <v>2021</v>
      </c>
      <c r="D69" s="200">
        <v>30</v>
      </c>
      <c r="E69" s="200">
        <f t="shared" si="2"/>
        <v>1</v>
      </c>
      <c r="F69" s="200">
        <f t="shared" si="3"/>
        <v>1</v>
      </c>
      <c r="G69" s="210"/>
      <c r="H69" s="200"/>
      <c r="I69" s="210"/>
      <c r="J69" s="200"/>
      <c r="K69" s="176"/>
      <c r="L69" s="176"/>
      <c r="M69" s="176">
        <f>IF(SUM(M$40:M68)=K$38,0,IF(SUM(L$40:L69)&lt;$V$13,L69,K$38-SUM(L$40:L68)))</f>
        <v>0</v>
      </c>
      <c r="N69" s="176">
        <f t="shared" si="9"/>
        <v>0</v>
      </c>
      <c r="O69" s="176">
        <f t="shared" si="4"/>
        <v>0</v>
      </c>
      <c r="P69" s="176">
        <f t="shared" si="5"/>
        <v>0</v>
      </c>
      <c r="Q69" s="176">
        <f t="shared" si="6"/>
        <v>0</v>
      </c>
      <c r="R69" s="176">
        <f t="shared" si="7"/>
        <v>0</v>
      </c>
      <c r="S69" s="176">
        <f t="shared" si="8"/>
        <v>0</v>
      </c>
      <c r="T69" s="176">
        <f>IF(SUM(L$40:L68)&lt;V$13,IF(SUM(L$40:L69)&lt;V$13,0,(SUM(L$40:L69)-V$13)),L69)</f>
        <v>0</v>
      </c>
      <c r="U69" s="210"/>
      <c r="V69" s="176"/>
      <c r="W69" s="210"/>
      <c r="X69" s="176"/>
      <c r="Y69" s="201"/>
    </row>
    <row r="70" spans="1:25" hidden="1" x14ac:dyDescent="0.25">
      <c r="A70" s="219"/>
      <c r="B70" s="200" t="s">
        <v>71</v>
      </c>
      <c r="C70" s="200">
        <f>+C68</f>
        <v>2021</v>
      </c>
      <c r="D70" s="200">
        <v>31</v>
      </c>
      <c r="E70" s="200">
        <f t="shared" si="2"/>
        <v>1</v>
      </c>
      <c r="F70" s="200">
        <f t="shared" si="3"/>
        <v>1</v>
      </c>
      <c r="G70" s="210"/>
      <c r="H70" s="200"/>
      <c r="I70" s="210"/>
      <c r="J70" s="200"/>
      <c r="K70" s="176"/>
      <c r="L70" s="176"/>
      <c r="M70" s="176">
        <f>IF(SUM(M$40:M69)=K$38,0,IF(SUM(L$40:L70)&lt;$V$13,L70,K$38-SUM(L$40:L69)))</f>
        <v>0</v>
      </c>
      <c r="N70" s="176">
        <f t="shared" si="9"/>
        <v>0</v>
      </c>
      <c r="O70" s="176">
        <f t="shared" si="4"/>
        <v>0</v>
      </c>
      <c r="P70" s="176">
        <f t="shared" si="5"/>
        <v>0</v>
      </c>
      <c r="Q70" s="176">
        <f t="shared" si="6"/>
        <v>0</v>
      </c>
      <c r="R70" s="176">
        <f t="shared" si="7"/>
        <v>0</v>
      </c>
      <c r="S70" s="176">
        <f t="shared" si="8"/>
        <v>0</v>
      </c>
      <c r="T70" s="176">
        <f>IF(SUM(L$40:L69)&lt;V$13,IF(SUM(L$40:L70)&lt;V$13,0,(SUM(L$40:L70)-V$13)),L70)</f>
        <v>0</v>
      </c>
      <c r="U70" s="210"/>
      <c r="V70" s="176"/>
      <c r="W70" s="210"/>
      <c r="X70" s="176"/>
      <c r="Y70" s="201"/>
    </row>
    <row r="71" spans="1:25" hidden="1" x14ac:dyDescent="0.25">
      <c r="A71" s="219"/>
      <c r="B71" s="200" t="s">
        <v>72</v>
      </c>
      <c r="C71" s="200">
        <f>+C68</f>
        <v>2021</v>
      </c>
      <c r="D71" s="200">
        <v>32</v>
      </c>
      <c r="E71" s="200">
        <f t="shared" si="2"/>
        <v>1</v>
      </c>
      <c r="F71" s="200">
        <f t="shared" si="3"/>
        <v>1</v>
      </c>
      <c r="G71" s="210"/>
      <c r="H71" s="200"/>
      <c r="I71" s="210"/>
      <c r="J71" s="200"/>
      <c r="K71" s="176"/>
      <c r="L71" s="176"/>
      <c r="M71" s="176">
        <f>IF(SUM(M$40:M70)=K$38,0,IF(SUM(L$40:L71)&lt;$V$13,L71,K$38-SUM(L$40:L70)))</f>
        <v>0</v>
      </c>
      <c r="N71" s="176">
        <f t="shared" si="9"/>
        <v>0</v>
      </c>
      <c r="O71" s="176">
        <f t="shared" si="4"/>
        <v>0</v>
      </c>
      <c r="P71" s="176">
        <f t="shared" si="5"/>
        <v>0</v>
      </c>
      <c r="Q71" s="176">
        <f t="shared" si="6"/>
        <v>0</v>
      </c>
      <c r="R71" s="176">
        <f t="shared" si="7"/>
        <v>0</v>
      </c>
      <c r="S71" s="176">
        <f t="shared" si="8"/>
        <v>0</v>
      </c>
      <c r="T71" s="176">
        <f>IF(SUM(L$40:L70)&lt;V$13,IF(SUM(L$40:L71)&lt;V$13,0,(SUM(L$40:L71)-V$13)),L71)</f>
        <v>0</v>
      </c>
      <c r="U71" s="210"/>
      <c r="V71" s="176"/>
      <c r="W71" s="210"/>
      <c r="X71" s="176"/>
      <c r="Y71" s="201"/>
    </row>
    <row r="72" spans="1:25" hidden="1" x14ac:dyDescent="0.25">
      <c r="A72" s="219">
        <v>2022</v>
      </c>
      <c r="B72" s="200" t="s">
        <v>69</v>
      </c>
      <c r="C72" s="200">
        <f>+A72</f>
        <v>2022</v>
      </c>
      <c r="D72" s="200">
        <v>33</v>
      </c>
      <c r="E72" s="200">
        <f t="shared" ref="E72:E103" si="10">IF(D72&lt;$B$14,1,(1/(1+$K$17/4)^(D72-$B$14+1)))</f>
        <v>1</v>
      </c>
      <c r="F72" s="200">
        <f t="shared" ref="F72:F103" si="11">IF(C72&lt;($B$12+1),1,(1/(1+$K$17)^(C72-$B$12)))</f>
        <v>1</v>
      </c>
      <c r="G72" s="210"/>
      <c r="H72" s="176">
        <f>+G72*F72</f>
        <v>0</v>
      </c>
      <c r="I72" s="210"/>
      <c r="J72" s="176">
        <f>+I72*F72</f>
        <v>0</v>
      </c>
      <c r="K72" s="176"/>
      <c r="L72" s="176"/>
      <c r="M72" s="176">
        <f>IF(SUM(M$40:M71)=K$38,0,IF(SUM(L$40:L72)&lt;$V$13,L72,K$38-SUM(L$40:L71)))</f>
        <v>0</v>
      </c>
      <c r="N72" s="176">
        <f t="shared" si="9"/>
        <v>0</v>
      </c>
      <c r="O72" s="176">
        <f t="shared" ref="O72:O103" si="12">+N72*($K$21/4)</f>
        <v>0</v>
      </c>
      <c r="P72" s="176">
        <f t="shared" ref="P72:P103" si="13">+N72*($K$20/4)</f>
        <v>0</v>
      </c>
      <c r="Q72" s="176">
        <f t="shared" ref="Q72:Q103" si="14">+P72-O72</f>
        <v>0</v>
      </c>
      <c r="R72" s="176">
        <f t="shared" ref="R72:R103" si="15">+Q72*E72</f>
        <v>0</v>
      </c>
      <c r="S72" s="176">
        <f t="shared" ref="S72:S103" si="16">+L72-T72</f>
        <v>0</v>
      </c>
      <c r="T72" s="176">
        <f>IF(SUM(L$40:L71)&lt;V$13,IF(SUM(L$40:L72)&lt;V$13,0,(SUM(L$40:L72)-V$13)),L72)</f>
        <v>0</v>
      </c>
      <c r="U72" s="210">
        <f>SUM(T72:T75)</f>
        <v>0</v>
      </c>
      <c r="V72" s="176">
        <f>+U72*F72</f>
        <v>0</v>
      </c>
      <c r="W72" s="210"/>
      <c r="X72" s="176">
        <f>+W72*F72</f>
        <v>0</v>
      </c>
      <c r="Y72" s="201"/>
    </row>
    <row r="73" spans="1:25" hidden="1" x14ac:dyDescent="0.25">
      <c r="A73" s="219"/>
      <c r="B73" s="200" t="s">
        <v>70</v>
      </c>
      <c r="C73" s="200">
        <f>+C72</f>
        <v>2022</v>
      </c>
      <c r="D73" s="200">
        <v>34</v>
      </c>
      <c r="E73" s="200">
        <f t="shared" si="10"/>
        <v>1</v>
      </c>
      <c r="F73" s="200">
        <f t="shared" si="11"/>
        <v>1</v>
      </c>
      <c r="G73" s="210"/>
      <c r="H73" s="200"/>
      <c r="I73" s="210"/>
      <c r="J73" s="200"/>
      <c r="K73" s="176"/>
      <c r="L73" s="176"/>
      <c r="M73" s="176">
        <f>IF(SUM(M$40:M72)=K$38,0,IF(SUM(L$40:L73)&lt;$V$13,L73,K$38-SUM(L$40:L72)))</f>
        <v>0</v>
      </c>
      <c r="N73" s="176">
        <f t="shared" ref="N73:N104" si="17">+N72+K73-M72</f>
        <v>0</v>
      </c>
      <c r="O73" s="176">
        <f t="shared" si="12"/>
        <v>0</v>
      </c>
      <c r="P73" s="176">
        <f t="shared" si="13"/>
        <v>0</v>
      </c>
      <c r="Q73" s="176">
        <f t="shared" si="14"/>
        <v>0</v>
      </c>
      <c r="R73" s="176">
        <f t="shared" si="15"/>
        <v>0</v>
      </c>
      <c r="S73" s="176">
        <f t="shared" si="16"/>
        <v>0</v>
      </c>
      <c r="T73" s="176">
        <f>IF(SUM(L$40:L72)&lt;V$13,IF(SUM(L$40:L73)&lt;V$13,0,(SUM(L$40:L73)-V$13)),L73)</f>
        <v>0</v>
      </c>
      <c r="U73" s="210"/>
      <c r="V73" s="176"/>
      <c r="W73" s="210"/>
      <c r="X73" s="176"/>
      <c r="Y73" s="201"/>
    </row>
    <row r="74" spans="1:25" hidden="1" x14ac:dyDescent="0.25">
      <c r="A74" s="219"/>
      <c r="B74" s="200" t="s">
        <v>71</v>
      </c>
      <c r="C74" s="200">
        <f>+C72</f>
        <v>2022</v>
      </c>
      <c r="D74" s="200">
        <v>35</v>
      </c>
      <c r="E74" s="200">
        <f t="shared" si="10"/>
        <v>1</v>
      </c>
      <c r="F74" s="200">
        <f t="shared" si="11"/>
        <v>1</v>
      </c>
      <c r="G74" s="210"/>
      <c r="H74" s="200"/>
      <c r="I74" s="210"/>
      <c r="J74" s="200"/>
      <c r="K74" s="176"/>
      <c r="L74" s="176"/>
      <c r="M74" s="176">
        <f>IF(SUM(M$40:M73)=K$38,0,IF(SUM(L$40:L74)&lt;$V$13,L74,K$38-SUM(L$40:L73)))</f>
        <v>0</v>
      </c>
      <c r="N74" s="176">
        <f t="shared" si="17"/>
        <v>0</v>
      </c>
      <c r="O74" s="176">
        <f t="shared" si="12"/>
        <v>0</v>
      </c>
      <c r="P74" s="176">
        <f t="shared" si="13"/>
        <v>0</v>
      </c>
      <c r="Q74" s="176">
        <f t="shared" si="14"/>
        <v>0</v>
      </c>
      <c r="R74" s="176">
        <f t="shared" si="15"/>
        <v>0</v>
      </c>
      <c r="S74" s="176">
        <f t="shared" si="16"/>
        <v>0</v>
      </c>
      <c r="T74" s="176">
        <f>IF(SUM(L$40:L73)&lt;V$13,IF(SUM(L$40:L74)&lt;V$13,0,(SUM(L$40:L74)-V$13)),L74)</f>
        <v>0</v>
      </c>
      <c r="U74" s="210"/>
      <c r="V74" s="176"/>
      <c r="W74" s="210"/>
      <c r="X74" s="176"/>
      <c r="Y74" s="201"/>
    </row>
    <row r="75" spans="1:25" hidden="1" x14ac:dyDescent="0.25">
      <c r="A75" s="219"/>
      <c r="B75" s="200" t="s">
        <v>72</v>
      </c>
      <c r="C75" s="200">
        <f>+C72</f>
        <v>2022</v>
      </c>
      <c r="D75" s="200">
        <v>36</v>
      </c>
      <c r="E75" s="200">
        <f t="shared" si="10"/>
        <v>1</v>
      </c>
      <c r="F75" s="200">
        <f t="shared" si="11"/>
        <v>1</v>
      </c>
      <c r="G75" s="210"/>
      <c r="H75" s="200"/>
      <c r="I75" s="210"/>
      <c r="J75" s="200"/>
      <c r="K75" s="176"/>
      <c r="L75" s="176"/>
      <c r="M75" s="176">
        <f>IF(SUM(M$40:M74)=K$38,0,IF(SUM(L$40:L75)&lt;$V$13,L75,K$38-SUM(L$40:L74)))</f>
        <v>0</v>
      </c>
      <c r="N75" s="176">
        <f t="shared" si="17"/>
        <v>0</v>
      </c>
      <c r="O75" s="176">
        <f t="shared" si="12"/>
        <v>0</v>
      </c>
      <c r="P75" s="176">
        <f t="shared" si="13"/>
        <v>0</v>
      </c>
      <c r="Q75" s="176">
        <f t="shared" si="14"/>
        <v>0</v>
      </c>
      <c r="R75" s="176">
        <f t="shared" si="15"/>
        <v>0</v>
      </c>
      <c r="S75" s="176">
        <f t="shared" si="16"/>
        <v>0</v>
      </c>
      <c r="T75" s="176">
        <f>IF(SUM(L$40:L74)&lt;V$13,IF(SUM(L$40:L75)&lt;V$13,0,(SUM(L$40:L75)-V$13)),L75)</f>
        <v>0</v>
      </c>
      <c r="U75" s="210"/>
      <c r="V75" s="176"/>
      <c r="W75" s="210"/>
      <c r="X75" s="176"/>
      <c r="Y75" s="201"/>
    </row>
    <row r="76" spans="1:25" hidden="1" x14ac:dyDescent="0.25">
      <c r="A76" s="219">
        <v>2023</v>
      </c>
      <c r="B76" s="200" t="s">
        <v>69</v>
      </c>
      <c r="C76" s="200">
        <f>+A76</f>
        <v>2023</v>
      </c>
      <c r="D76" s="200">
        <v>37</v>
      </c>
      <c r="E76" s="200">
        <f t="shared" si="10"/>
        <v>1</v>
      </c>
      <c r="F76" s="200">
        <f t="shared" si="11"/>
        <v>1</v>
      </c>
      <c r="G76" s="210"/>
      <c r="H76" s="176">
        <f>+G76*F76</f>
        <v>0</v>
      </c>
      <c r="I76" s="210"/>
      <c r="J76" s="176">
        <f>+I76*F76</f>
        <v>0</v>
      </c>
      <c r="K76" s="176"/>
      <c r="L76" s="176"/>
      <c r="M76" s="176">
        <f>IF(SUM(M$40:M75)=K$38,0,IF(SUM(L$40:L76)&lt;$V$13,L76,K$38-SUM(L$40:L75)))</f>
        <v>0</v>
      </c>
      <c r="N76" s="176">
        <f t="shared" si="17"/>
        <v>0</v>
      </c>
      <c r="O76" s="176">
        <f t="shared" si="12"/>
        <v>0</v>
      </c>
      <c r="P76" s="176">
        <f t="shared" si="13"/>
        <v>0</v>
      </c>
      <c r="Q76" s="176">
        <f t="shared" si="14"/>
        <v>0</v>
      </c>
      <c r="R76" s="176">
        <f t="shared" si="15"/>
        <v>0</v>
      </c>
      <c r="S76" s="176">
        <f t="shared" si="16"/>
        <v>0</v>
      </c>
      <c r="T76" s="176">
        <f>IF(SUM(L$40:L75)&lt;V$13,IF(SUM(L$40:L76)&lt;V$13,0,(SUM(L$40:L76)-V$13)),L76)</f>
        <v>0</v>
      </c>
      <c r="U76" s="210">
        <f>SUM(T76:T79)</f>
        <v>0</v>
      </c>
      <c r="V76" s="176">
        <f>+U76*F76</f>
        <v>0</v>
      </c>
      <c r="W76" s="210"/>
      <c r="X76" s="176">
        <f>+W76*F76</f>
        <v>0</v>
      </c>
      <c r="Y76" s="201"/>
    </row>
    <row r="77" spans="1:25" hidden="1" x14ac:dyDescent="0.25">
      <c r="A77" s="219"/>
      <c r="B77" s="200" t="s">
        <v>70</v>
      </c>
      <c r="C77" s="200">
        <f>+C76</f>
        <v>2023</v>
      </c>
      <c r="D77" s="200">
        <v>38</v>
      </c>
      <c r="E77" s="200">
        <f t="shared" si="10"/>
        <v>1</v>
      </c>
      <c r="F77" s="200">
        <f t="shared" si="11"/>
        <v>1</v>
      </c>
      <c r="G77" s="210"/>
      <c r="H77" s="200"/>
      <c r="I77" s="210"/>
      <c r="J77" s="200"/>
      <c r="K77" s="176"/>
      <c r="L77" s="176"/>
      <c r="M77" s="176">
        <f>IF(SUM(M$40:M76)=K$38,0,IF(SUM(L$40:L77)&lt;$V$13,L77,K$38-SUM(L$40:L76)))</f>
        <v>0</v>
      </c>
      <c r="N77" s="176">
        <f t="shared" si="17"/>
        <v>0</v>
      </c>
      <c r="O77" s="176">
        <f t="shared" si="12"/>
        <v>0</v>
      </c>
      <c r="P77" s="176">
        <f t="shared" si="13"/>
        <v>0</v>
      </c>
      <c r="Q77" s="176">
        <f t="shared" si="14"/>
        <v>0</v>
      </c>
      <c r="R77" s="176">
        <f t="shared" si="15"/>
        <v>0</v>
      </c>
      <c r="S77" s="176">
        <f t="shared" si="16"/>
        <v>0</v>
      </c>
      <c r="T77" s="176">
        <f>IF(SUM(L$40:L76)&lt;V$13,IF(SUM(L$40:L77)&lt;V$13,0,(SUM(L$40:L77)-V$13)),L77)</f>
        <v>0</v>
      </c>
      <c r="U77" s="210"/>
      <c r="V77" s="176"/>
      <c r="W77" s="210"/>
      <c r="X77" s="176"/>
      <c r="Y77" s="201"/>
    </row>
    <row r="78" spans="1:25" hidden="1" x14ac:dyDescent="0.25">
      <c r="A78" s="219"/>
      <c r="B78" s="200" t="s">
        <v>71</v>
      </c>
      <c r="C78" s="200">
        <f>+C76</f>
        <v>2023</v>
      </c>
      <c r="D78" s="200">
        <v>39</v>
      </c>
      <c r="E78" s="200">
        <f t="shared" si="10"/>
        <v>1</v>
      </c>
      <c r="F78" s="200">
        <f t="shared" si="11"/>
        <v>1</v>
      </c>
      <c r="G78" s="210"/>
      <c r="H78" s="200"/>
      <c r="I78" s="210"/>
      <c r="J78" s="200"/>
      <c r="K78" s="176"/>
      <c r="L78" s="176"/>
      <c r="M78" s="176">
        <f>IF(SUM(M$40:M77)=K$38,0,IF(SUM(L$40:L78)&lt;$V$13,L78,K$38-SUM(L$40:L77)))</f>
        <v>0</v>
      </c>
      <c r="N78" s="176">
        <f t="shared" si="17"/>
        <v>0</v>
      </c>
      <c r="O78" s="176">
        <f t="shared" si="12"/>
        <v>0</v>
      </c>
      <c r="P78" s="176">
        <f t="shared" si="13"/>
        <v>0</v>
      </c>
      <c r="Q78" s="176">
        <f t="shared" si="14"/>
        <v>0</v>
      </c>
      <c r="R78" s="176">
        <f t="shared" si="15"/>
        <v>0</v>
      </c>
      <c r="S78" s="176">
        <f t="shared" si="16"/>
        <v>0</v>
      </c>
      <c r="T78" s="176">
        <f>IF(SUM(L$40:L77)&lt;V$13,IF(SUM(L$40:L78)&lt;V$13,0,(SUM(L$40:L78)-V$13)),L78)</f>
        <v>0</v>
      </c>
      <c r="U78" s="210"/>
      <c r="V78" s="176"/>
      <c r="W78" s="210"/>
      <c r="X78" s="176"/>
      <c r="Y78" s="201"/>
    </row>
    <row r="79" spans="1:25" hidden="1" x14ac:dyDescent="0.25">
      <c r="A79" s="219"/>
      <c r="B79" s="200" t="s">
        <v>72</v>
      </c>
      <c r="C79" s="200">
        <f>+C76</f>
        <v>2023</v>
      </c>
      <c r="D79" s="200">
        <v>40</v>
      </c>
      <c r="E79" s="200">
        <f t="shared" si="10"/>
        <v>1</v>
      </c>
      <c r="F79" s="200">
        <f t="shared" si="11"/>
        <v>1</v>
      </c>
      <c r="G79" s="210"/>
      <c r="H79" s="200"/>
      <c r="I79" s="210"/>
      <c r="J79" s="200"/>
      <c r="K79" s="176"/>
      <c r="L79" s="176"/>
      <c r="M79" s="176">
        <f>IF(SUM(M$40:M78)=K$38,0,IF(SUM(L$40:L79)&lt;$V$13,L79,K$38-SUM(L$40:L78)))</f>
        <v>0</v>
      </c>
      <c r="N79" s="176">
        <f t="shared" si="17"/>
        <v>0</v>
      </c>
      <c r="O79" s="176">
        <f t="shared" si="12"/>
        <v>0</v>
      </c>
      <c r="P79" s="176">
        <f t="shared" si="13"/>
        <v>0</v>
      </c>
      <c r="Q79" s="176">
        <f t="shared" si="14"/>
        <v>0</v>
      </c>
      <c r="R79" s="176">
        <f t="shared" si="15"/>
        <v>0</v>
      </c>
      <c r="S79" s="176">
        <f t="shared" si="16"/>
        <v>0</v>
      </c>
      <c r="T79" s="176">
        <f>IF(SUM(L$40:L78)&lt;V$13,IF(SUM(L$40:L79)&lt;V$13,0,(SUM(L$40:L79)-V$13)),L79)</f>
        <v>0</v>
      </c>
      <c r="U79" s="210"/>
      <c r="V79" s="176"/>
      <c r="W79" s="210"/>
      <c r="X79" s="176"/>
      <c r="Y79" s="201"/>
    </row>
    <row r="80" spans="1:25" x14ac:dyDescent="0.25">
      <c r="A80" s="219">
        <v>2024</v>
      </c>
      <c r="B80" s="200" t="s">
        <v>69</v>
      </c>
      <c r="C80" s="200">
        <f>+A80</f>
        <v>2024</v>
      </c>
      <c r="D80" s="200">
        <v>41</v>
      </c>
      <c r="E80" s="200">
        <f t="shared" si="10"/>
        <v>1</v>
      </c>
      <c r="F80" s="200">
        <f t="shared" si="11"/>
        <v>1</v>
      </c>
      <c r="G80" s="210"/>
      <c r="H80" s="176">
        <f>+G80*F80</f>
        <v>0</v>
      </c>
      <c r="I80" s="210"/>
      <c r="J80" s="176">
        <f>+I80*F80</f>
        <v>0</v>
      </c>
      <c r="K80" s="155"/>
      <c r="L80" s="155"/>
      <c r="M80" s="176">
        <f>IF(SUM(M$40:M79)=K$38,0,IF(SUM(L$40:L80)&lt;$V$13,L80,K$38-SUM(L$40:L79)))</f>
        <v>0</v>
      </c>
      <c r="N80" s="176">
        <f t="shared" si="17"/>
        <v>0</v>
      </c>
      <c r="O80" s="176">
        <f t="shared" si="12"/>
        <v>0</v>
      </c>
      <c r="P80" s="176">
        <f t="shared" si="13"/>
        <v>0</v>
      </c>
      <c r="Q80" s="176">
        <f t="shared" si="14"/>
        <v>0</v>
      </c>
      <c r="R80" s="176">
        <f t="shared" si="15"/>
        <v>0</v>
      </c>
      <c r="S80" s="176">
        <f t="shared" si="16"/>
        <v>0</v>
      </c>
      <c r="T80" s="176">
        <f>IF(SUM(L$40:L79)&lt;V$13,IF(SUM(L$40:L80)&lt;V$13,0,(SUM(L$40:L80)-V$13)),L80)</f>
        <v>0</v>
      </c>
      <c r="U80" s="210">
        <f>SUM(T80:T83)</f>
        <v>0</v>
      </c>
      <c r="V80" s="176">
        <f>+U80*F80</f>
        <v>0</v>
      </c>
      <c r="W80" s="231"/>
      <c r="X80" s="176">
        <f>+W80*F80</f>
        <v>0</v>
      </c>
      <c r="Y80" s="201"/>
    </row>
    <row r="81" spans="1:40" x14ac:dyDescent="0.25">
      <c r="A81" s="219"/>
      <c r="B81" s="200" t="s">
        <v>70</v>
      </c>
      <c r="C81" s="200">
        <f>+C80</f>
        <v>2024</v>
      </c>
      <c r="D81" s="200">
        <v>42</v>
      </c>
      <c r="E81" s="200">
        <f t="shared" si="10"/>
        <v>1</v>
      </c>
      <c r="F81" s="200">
        <f t="shared" si="11"/>
        <v>1</v>
      </c>
      <c r="G81" s="210"/>
      <c r="H81" s="200"/>
      <c r="I81" s="210"/>
      <c r="J81" s="200"/>
      <c r="K81" s="155"/>
      <c r="L81" s="155"/>
      <c r="M81" s="176">
        <f>IF(SUM(M$40:M80)=K$38,0,IF(SUM(L$40:L81)&lt;$V$13,L81,K$38-SUM(L$40:L80)))</f>
        <v>0</v>
      </c>
      <c r="N81" s="176">
        <f t="shared" si="17"/>
        <v>0</v>
      </c>
      <c r="O81" s="176">
        <f t="shared" si="12"/>
        <v>0</v>
      </c>
      <c r="P81" s="176">
        <f t="shared" si="13"/>
        <v>0</v>
      </c>
      <c r="Q81" s="176">
        <f t="shared" si="14"/>
        <v>0</v>
      </c>
      <c r="R81" s="176">
        <f t="shared" si="15"/>
        <v>0</v>
      </c>
      <c r="S81" s="176">
        <f t="shared" si="16"/>
        <v>0</v>
      </c>
      <c r="T81" s="176">
        <f>IF(SUM(L$40:L80)&lt;V$13,IF(SUM(L$40:L81)&lt;V$13,0,(SUM(L$40:L81)-V$13)),L81)</f>
        <v>0</v>
      </c>
      <c r="U81" s="210"/>
      <c r="V81" s="176"/>
      <c r="W81" s="232"/>
      <c r="X81" s="176"/>
      <c r="Y81" s="201"/>
    </row>
    <row r="82" spans="1:40" ht="12.75" customHeight="1" x14ac:dyDescent="0.25">
      <c r="A82" s="219"/>
      <c r="B82" s="200" t="s">
        <v>71</v>
      </c>
      <c r="C82" s="200">
        <f>+C80</f>
        <v>2024</v>
      </c>
      <c r="D82" s="200">
        <v>43</v>
      </c>
      <c r="E82" s="200">
        <f t="shared" si="10"/>
        <v>1</v>
      </c>
      <c r="F82" s="200">
        <f t="shared" si="11"/>
        <v>1</v>
      </c>
      <c r="G82" s="210"/>
      <c r="H82" s="200"/>
      <c r="I82" s="210"/>
      <c r="J82" s="200"/>
      <c r="K82" s="155"/>
      <c r="L82" s="155"/>
      <c r="M82" s="176">
        <f>IF(SUM(M$40:M81)=K$38,0,IF(SUM(L$40:L82)&lt;$V$13,L82,K$38-SUM(L$40:L81)))</f>
        <v>0</v>
      </c>
      <c r="N82" s="176">
        <f t="shared" si="17"/>
        <v>0</v>
      </c>
      <c r="O82" s="176">
        <f t="shared" si="12"/>
        <v>0</v>
      </c>
      <c r="P82" s="176">
        <f t="shared" si="13"/>
        <v>0</v>
      </c>
      <c r="Q82" s="176">
        <f t="shared" si="14"/>
        <v>0</v>
      </c>
      <c r="R82" s="176">
        <f t="shared" si="15"/>
        <v>0</v>
      </c>
      <c r="S82" s="176">
        <f t="shared" si="16"/>
        <v>0</v>
      </c>
      <c r="T82" s="176">
        <f>IF(SUM(L$40:L81)&lt;V$13,IF(SUM(L$40:L82)&lt;V$13,0,(SUM(L$40:L82)-V$13)),L82)</f>
        <v>0</v>
      </c>
      <c r="U82" s="210"/>
      <c r="V82" s="176"/>
      <c r="W82" s="232"/>
      <c r="X82" s="176"/>
      <c r="Y82" s="201"/>
      <c r="AL82" s="237"/>
      <c r="AM82" s="237"/>
      <c r="AN82" s="239"/>
    </row>
    <row r="83" spans="1:40" x14ac:dyDescent="0.25">
      <c r="A83" s="219"/>
      <c r="B83" s="200" t="s">
        <v>72</v>
      </c>
      <c r="C83" s="200">
        <f>+C80</f>
        <v>2024</v>
      </c>
      <c r="D83" s="200">
        <v>44</v>
      </c>
      <c r="E83" s="200">
        <f t="shared" si="10"/>
        <v>0.98357430903904797</v>
      </c>
      <c r="F83" s="200">
        <f t="shared" si="11"/>
        <v>1</v>
      </c>
      <c r="G83" s="210"/>
      <c r="H83" s="200"/>
      <c r="I83" s="210"/>
      <c r="J83" s="200"/>
      <c r="K83" s="155"/>
      <c r="L83" s="155"/>
      <c r="M83" s="176">
        <f>IF(SUM(M$40:M82)=K$38,0,IF(SUM(L$40:L83)&lt;$V$13,L83,K$38-SUM(L$40:L82)))</f>
        <v>0</v>
      </c>
      <c r="N83" s="176">
        <f t="shared" si="17"/>
        <v>0</v>
      </c>
      <c r="O83" s="176">
        <f t="shared" si="12"/>
        <v>0</v>
      </c>
      <c r="P83" s="176">
        <f t="shared" si="13"/>
        <v>0</v>
      </c>
      <c r="Q83" s="176">
        <f t="shared" si="14"/>
        <v>0</v>
      </c>
      <c r="R83" s="176">
        <f t="shared" si="15"/>
        <v>0</v>
      </c>
      <c r="S83" s="176">
        <f t="shared" si="16"/>
        <v>0</v>
      </c>
      <c r="T83" s="176">
        <f>IF(SUM(L$40:L82)&lt;V$13,IF(SUM(L$40:L83)&lt;V$13,0,(SUM(L$40:L83)-V$13)),L83)</f>
        <v>0</v>
      </c>
      <c r="U83" s="210"/>
      <c r="V83" s="176"/>
      <c r="W83" s="233"/>
      <c r="X83" s="176"/>
      <c r="Y83" s="201"/>
      <c r="AL83" s="174"/>
      <c r="AM83" s="174"/>
      <c r="AN83" s="239"/>
    </row>
    <row r="84" spans="1:40" ht="12.75" customHeight="1" x14ac:dyDescent="0.25">
      <c r="A84" s="219">
        <v>2025</v>
      </c>
      <c r="B84" s="200" t="s">
        <v>69</v>
      </c>
      <c r="C84" s="200">
        <f>+A84</f>
        <v>2025</v>
      </c>
      <c r="D84" s="200">
        <v>45</v>
      </c>
      <c r="E84" s="200">
        <f t="shared" si="10"/>
        <v>0.96741842140164069</v>
      </c>
      <c r="F84" s="200">
        <f t="shared" si="11"/>
        <v>0.9373828271466067</v>
      </c>
      <c r="G84" s="210"/>
      <c r="H84" s="176">
        <f>+G84*F84</f>
        <v>0</v>
      </c>
      <c r="I84" s="210"/>
      <c r="J84" s="176">
        <f>+I84*F84</f>
        <v>0</v>
      </c>
      <c r="K84" s="155"/>
      <c r="L84" s="155"/>
      <c r="M84" s="176">
        <f>IF(SUM(M$40:M83)=K$38,0,IF(SUM(L$40:L84)&lt;$V$13,L84,K$38-SUM(L$40:L83)))</f>
        <v>0</v>
      </c>
      <c r="N84" s="176">
        <f t="shared" si="17"/>
        <v>0</v>
      </c>
      <c r="O84" s="176">
        <f t="shared" si="12"/>
        <v>0</v>
      </c>
      <c r="P84" s="176">
        <f t="shared" si="13"/>
        <v>0</v>
      </c>
      <c r="Q84" s="176">
        <f t="shared" si="14"/>
        <v>0</v>
      </c>
      <c r="R84" s="176">
        <f t="shared" si="15"/>
        <v>0</v>
      </c>
      <c r="S84" s="176">
        <f t="shared" si="16"/>
        <v>0</v>
      </c>
      <c r="T84" s="176">
        <f>IF(SUM(L$40:L83)&lt;V$13,IF(SUM(L$40:L84)&lt;V$13,0,(SUM(L$40:L84)-V$13)),L84)</f>
        <v>0</v>
      </c>
      <c r="U84" s="210">
        <f>SUM(T84:T87)</f>
        <v>0</v>
      </c>
      <c r="V84" s="176">
        <f>+U84*F84</f>
        <v>0</v>
      </c>
      <c r="W84" s="210"/>
      <c r="X84" s="176">
        <f>+W84*F84</f>
        <v>0</v>
      </c>
      <c r="Y84" s="201"/>
      <c r="AL84" s="238"/>
      <c r="AM84" s="238"/>
      <c r="AN84" s="238"/>
    </row>
    <row r="85" spans="1:40" x14ac:dyDescent="0.25">
      <c r="A85" s="219"/>
      <c r="B85" s="200" t="s">
        <v>70</v>
      </c>
      <c r="C85" s="200">
        <f>+C84</f>
        <v>2025</v>
      </c>
      <c r="D85" s="200">
        <v>46</v>
      </c>
      <c r="E85" s="200">
        <f t="shared" si="10"/>
        <v>0.95152790538176524</v>
      </c>
      <c r="F85" s="200">
        <f t="shared" si="11"/>
        <v>0.9373828271466067</v>
      </c>
      <c r="G85" s="210"/>
      <c r="H85" s="200"/>
      <c r="I85" s="210"/>
      <c r="J85" s="200"/>
      <c r="K85" s="155"/>
      <c r="L85" s="155"/>
      <c r="M85" s="176">
        <f>IF(SUM(M$40:M84)=K$38,0,IF(SUM(L$40:L85)&lt;$V$13,L85,K$38-SUM(L$40:L84)))</f>
        <v>0</v>
      </c>
      <c r="N85" s="176">
        <f t="shared" si="17"/>
        <v>0</v>
      </c>
      <c r="O85" s="176">
        <f t="shared" si="12"/>
        <v>0</v>
      </c>
      <c r="P85" s="176">
        <f t="shared" si="13"/>
        <v>0</v>
      </c>
      <c r="Q85" s="176">
        <f t="shared" si="14"/>
        <v>0</v>
      </c>
      <c r="R85" s="176">
        <f t="shared" si="15"/>
        <v>0</v>
      </c>
      <c r="S85" s="176">
        <f t="shared" si="16"/>
        <v>0</v>
      </c>
      <c r="T85" s="176">
        <f>IF(SUM(L$40:L84)&lt;V$13,IF(SUM(L$40:L85)&lt;V$13,0,(SUM(L$40:L85)-V$13)),L85)</f>
        <v>0</v>
      </c>
      <c r="U85" s="210"/>
      <c r="V85" s="176"/>
      <c r="W85" s="210"/>
      <c r="X85" s="176"/>
      <c r="Y85" s="201"/>
      <c r="AL85" s="238"/>
      <c r="AM85" s="238"/>
      <c r="AN85" s="238"/>
    </row>
    <row r="86" spans="1:40" x14ac:dyDescent="0.25">
      <c r="A86" s="219"/>
      <c r="B86" s="200" t="s">
        <v>71</v>
      </c>
      <c r="C86" s="200">
        <f>+C84</f>
        <v>2025</v>
      </c>
      <c r="D86" s="200">
        <v>47</v>
      </c>
      <c r="E86" s="200">
        <f t="shared" si="10"/>
        <v>0.9358984020672424</v>
      </c>
      <c r="F86" s="200">
        <f t="shared" si="11"/>
        <v>0.9373828271466067</v>
      </c>
      <c r="G86" s="210"/>
      <c r="H86" s="200"/>
      <c r="I86" s="210"/>
      <c r="J86" s="200"/>
      <c r="K86" s="155"/>
      <c r="L86" s="155"/>
      <c r="M86" s="176">
        <f>IF(SUM(M$40:M85)=K$38,0,IF(SUM(L$40:L86)&lt;$V$13,L86,K$38-SUM(L$40:L85)))</f>
        <v>0</v>
      </c>
      <c r="N86" s="176">
        <f t="shared" si="17"/>
        <v>0</v>
      </c>
      <c r="O86" s="176">
        <f t="shared" si="12"/>
        <v>0</v>
      </c>
      <c r="P86" s="176">
        <f t="shared" si="13"/>
        <v>0</v>
      </c>
      <c r="Q86" s="176">
        <f t="shared" si="14"/>
        <v>0</v>
      </c>
      <c r="R86" s="176">
        <f t="shared" si="15"/>
        <v>0</v>
      </c>
      <c r="S86" s="176">
        <f t="shared" si="16"/>
        <v>0</v>
      </c>
      <c r="T86" s="176">
        <f>IF(SUM(L$40:L85)&lt;V$13,IF(SUM(L$40:L86)&lt;V$13,0,(SUM(L$40:L86)-V$13)),L86)</f>
        <v>0</v>
      </c>
      <c r="U86" s="210"/>
      <c r="V86" s="176"/>
      <c r="W86" s="210"/>
      <c r="X86" s="176"/>
      <c r="Y86" s="201"/>
      <c r="Z86" s="168"/>
    </row>
    <row r="87" spans="1:40" x14ac:dyDescent="0.25">
      <c r="A87" s="219"/>
      <c r="B87" s="200" t="s">
        <v>72</v>
      </c>
      <c r="C87" s="200">
        <f>+C84</f>
        <v>2025</v>
      </c>
      <c r="D87" s="200">
        <v>48</v>
      </c>
      <c r="E87" s="200">
        <f t="shared" si="10"/>
        <v>0.92052562414403694</v>
      </c>
      <c r="F87" s="200">
        <f t="shared" si="11"/>
        <v>0.9373828271466067</v>
      </c>
      <c r="G87" s="210"/>
      <c r="H87" s="200"/>
      <c r="I87" s="210"/>
      <c r="J87" s="200"/>
      <c r="K87" s="155"/>
      <c r="L87" s="155"/>
      <c r="M87" s="176">
        <f>IF(SUM(M$40:M86)=K$38,0,IF(SUM(L$40:L87)&lt;$V$13,L87,K$38-SUM(L$40:L86)))</f>
        <v>0</v>
      </c>
      <c r="N87" s="176">
        <f t="shared" si="17"/>
        <v>0</v>
      </c>
      <c r="O87" s="176">
        <f t="shared" si="12"/>
        <v>0</v>
      </c>
      <c r="P87" s="176">
        <f t="shared" si="13"/>
        <v>0</v>
      </c>
      <c r="Q87" s="176">
        <f t="shared" si="14"/>
        <v>0</v>
      </c>
      <c r="R87" s="176">
        <f t="shared" si="15"/>
        <v>0</v>
      </c>
      <c r="S87" s="176">
        <f t="shared" si="16"/>
        <v>0</v>
      </c>
      <c r="T87" s="176">
        <f>IF(SUM(L$40:L86)&lt;V$13,IF(SUM(L$40:L87)&lt;V$13,0,(SUM(L$40:L87)-V$13)),L87)</f>
        <v>0</v>
      </c>
      <c r="U87" s="210"/>
      <c r="V87" s="176"/>
      <c r="W87" s="210"/>
      <c r="X87" s="176"/>
      <c r="Y87" s="201"/>
      <c r="Z87" s="237"/>
      <c r="AA87" s="238"/>
      <c r="AB87" s="238"/>
      <c r="AC87" s="238"/>
      <c r="AD87" s="237"/>
      <c r="AE87" s="237"/>
      <c r="AF87" s="239"/>
    </row>
    <row r="88" spans="1:40" x14ac:dyDescent="0.25">
      <c r="A88" s="219">
        <v>2026</v>
      </c>
      <c r="B88" s="200" t="s">
        <v>69</v>
      </c>
      <c r="C88" s="200">
        <f>+A88</f>
        <v>2026</v>
      </c>
      <c r="D88" s="200">
        <v>49</v>
      </c>
      <c r="E88" s="200">
        <f t="shared" si="10"/>
        <v>0.90540535472020967</v>
      </c>
      <c r="F88" s="200">
        <f t="shared" si="11"/>
        <v>0.87868656462936512</v>
      </c>
      <c r="G88" s="210"/>
      <c r="H88" s="176">
        <f>+G88*F88</f>
        <v>0</v>
      </c>
      <c r="I88" s="210"/>
      <c r="J88" s="176">
        <f>+I88*F88</f>
        <v>0</v>
      </c>
      <c r="K88" s="155"/>
      <c r="L88" s="155"/>
      <c r="M88" s="176">
        <f>IF(SUM(M$40:M87)=K$38,0,IF(SUM(L$40:L88)&lt;$V$13,L88,K$38-SUM(L$40:L87)))</f>
        <v>0</v>
      </c>
      <c r="N88" s="176">
        <f t="shared" si="17"/>
        <v>0</v>
      </c>
      <c r="O88" s="176">
        <f t="shared" si="12"/>
        <v>0</v>
      </c>
      <c r="P88" s="176">
        <f t="shared" si="13"/>
        <v>0</v>
      </c>
      <c r="Q88" s="176">
        <f t="shared" si="14"/>
        <v>0</v>
      </c>
      <c r="R88" s="176">
        <f t="shared" si="15"/>
        <v>0</v>
      </c>
      <c r="S88" s="176">
        <f t="shared" si="16"/>
        <v>0</v>
      </c>
      <c r="T88" s="176">
        <f>IF(SUM(L$40:L87)&lt;V$13,IF(SUM(L$40:L88)&lt;V$13,0,(SUM(L$40:L88)-V$13)),L88)</f>
        <v>0</v>
      </c>
      <c r="U88" s="210">
        <f>SUM(T88:T91)</f>
        <v>0</v>
      </c>
      <c r="V88" s="176">
        <f>+U88*F88</f>
        <v>0</v>
      </c>
      <c r="W88" s="210"/>
      <c r="X88" s="176">
        <f>+W88*F88</f>
        <v>0</v>
      </c>
      <c r="Y88" s="201"/>
      <c r="Z88" s="237"/>
      <c r="AA88" s="238"/>
      <c r="AB88" s="174"/>
      <c r="AC88" s="174"/>
      <c r="AD88" s="174"/>
      <c r="AE88" s="174"/>
      <c r="AF88" s="239"/>
    </row>
    <row r="89" spans="1:40" x14ac:dyDescent="0.25">
      <c r="A89" s="219"/>
      <c r="B89" s="200" t="s">
        <v>70</v>
      </c>
      <c r="C89" s="200">
        <f>+C88</f>
        <v>2026</v>
      </c>
      <c r="D89" s="200">
        <v>50</v>
      </c>
      <c r="E89" s="200">
        <f t="shared" si="10"/>
        <v>0.8905334461691844</v>
      </c>
      <c r="F89" s="200">
        <f t="shared" si="11"/>
        <v>0.87868656462936512</v>
      </c>
      <c r="G89" s="210"/>
      <c r="H89" s="200"/>
      <c r="I89" s="210"/>
      <c r="J89" s="200"/>
      <c r="K89" s="155"/>
      <c r="L89" s="155"/>
      <c r="M89" s="176">
        <f>IF(SUM(M$40:M88)=K$38,0,IF(SUM(L$40:L89)&lt;$V$13,L89,K$38-SUM(L$40:L88)))</f>
        <v>0</v>
      </c>
      <c r="N89" s="176">
        <f t="shared" si="17"/>
        <v>0</v>
      </c>
      <c r="O89" s="176">
        <f t="shared" si="12"/>
        <v>0</v>
      </c>
      <c r="P89" s="176">
        <f t="shared" si="13"/>
        <v>0</v>
      </c>
      <c r="Q89" s="176">
        <f t="shared" si="14"/>
        <v>0</v>
      </c>
      <c r="R89" s="176">
        <f t="shared" si="15"/>
        <v>0</v>
      </c>
      <c r="S89" s="176">
        <f t="shared" si="16"/>
        <v>0</v>
      </c>
      <c r="T89" s="176">
        <f>IF(SUM(L$40:L88)&lt;V$13,IF(SUM(L$40:L89)&lt;V$13,0,(SUM(L$40:L89)-V$13)),L89)</f>
        <v>0</v>
      </c>
      <c r="U89" s="210"/>
      <c r="V89" s="176"/>
      <c r="W89" s="210"/>
      <c r="X89" s="176"/>
      <c r="Y89" s="201"/>
      <c r="Z89" s="236"/>
      <c r="AA89" s="236"/>
      <c r="AB89" s="236"/>
      <c r="AC89" s="236"/>
      <c r="AD89" s="236"/>
      <c r="AE89" s="236"/>
      <c r="AF89" s="236"/>
      <c r="AG89" s="240"/>
      <c r="AH89" s="240"/>
    </row>
    <row r="90" spans="1:40" x14ac:dyDescent="0.25">
      <c r="A90" s="219"/>
      <c r="B90" s="200" t="s">
        <v>71</v>
      </c>
      <c r="C90" s="200">
        <f>+C88</f>
        <v>2026</v>
      </c>
      <c r="D90" s="200">
        <v>51</v>
      </c>
      <c r="E90" s="200">
        <f t="shared" si="10"/>
        <v>0.8759058189920178</v>
      </c>
      <c r="F90" s="200">
        <f t="shared" si="11"/>
        <v>0.87868656462936512</v>
      </c>
      <c r="G90" s="210"/>
      <c r="H90" s="200"/>
      <c r="I90" s="210"/>
      <c r="J90" s="200"/>
      <c r="K90" s="155"/>
      <c r="L90" s="155"/>
      <c r="M90" s="176">
        <f>IF(SUM(M$40:M89)=K$38,0,IF(SUM(L$40:L90)&lt;$V$13,L90,K$38-SUM(L$40:L89)))</f>
        <v>0</v>
      </c>
      <c r="N90" s="176">
        <f t="shared" si="17"/>
        <v>0</v>
      </c>
      <c r="O90" s="176">
        <f t="shared" si="12"/>
        <v>0</v>
      </c>
      <c r="P90" s="176">
        <f t="shared" si="13"/>
        <v>0</v>
      </c>
      <c r="Q90" s="176">
        <f t="shared" si="14"/>
        <v>0</v>
      </c>
      <c r="R90" s="176">
        <f t="shared" si="15"/>
        <v>0</v>
      </c>
      <c r="S90" s="176">
        <f t="shared" si="16"/>
        <v>0</v>
      </c>
      <c r="T90" s="176">
        <f>IF(SUM(L$40:L89)&lt;V$13,IF(SUM(L$40:L90)&lt;V$13,0,(SUM(L$40:L90)-V$13)),L90)</f>
        <v>0</v>
      </c>
      <c r="U90" s="210"/>
      <c r="V90" s="176"/>
      <c r="W90" s="210"/>
      <c r="X90" s="176"/>
      <c r="Y90" s="201"/>
      <c r="Z90" s="236"/>
      <c r="AA90" s="236"/>
      <c r="AB90" s="236"/>
      <c r="AC90" s="236"/>
      <c r="AD90" s="236"/>
      <c r="AE90" s="236"/>
      <c r="AF90" s="236"/>
      <c r="AG90" s="240"/>
      <c r="AH90" s="240"/>
    </row>
    <row r="91" spans="1:40" x14ac:dyDescent="0.25">
      <c r="A91" s="219"/>
      <c r="B91" s="200" t="s">
        <v>72</v>
      </c>
      <c r="C91" s="200">
        <f>+C88</f>
        <v>2026</v>
      </c>
      <c r="D91" s="200">
        <v>52</v>
      </c>
      <c r="E91" s="200">
        <f t="shared" si="10"/>
        <v>0.86151846069835525</v>
      </c>
      <c r="F91" s="200">
        <f t="shared" si="11"/>
        <v>0.87868656462936512</v>
      </c>
      <c r="G91" s="210"/>
      <c r="H91" s="200"/>
      <c r="I91" s="210"/>
      <c r="J91" s="200"/>
      <c r="K91" s="155"/>
      <c r="L91" s="155"/>
      <c r="M91" s="176">
        <f>IF(SUM(M$40:M90)=K$38,0,IF(SUM(L$40:L91)&lt;$V$13,L91,K$38-SUM(L$40:L90)))</f>
        <v>0</v>
      </c>
      <c r="N91" s="176">
        <f t="shared" si="17"/>
        <v>0</v>
      </c>
      <c r="O91" s="176">
        <f t="shared" si="12"/>
        <v>0</v>
      </c>
      <c r="P91" s="176">
        <f t="shared" si="13"/>
        <v>0</v>
      </c>
      <c r="Q91" s="176">
        <f t="shared" si="14"/>
        <v>0</v>
      </c>
      <c r="R91" s="176">
        <f t="shared" si="15"/>
        <v>0</v>
      </c>
      <c r="S91" s="176">
        <f t="shared" si="16"/>
        <v>0</v>
      </c>
      <c r="T91" s="176">
        <f>IF(SUM(L$40:L90)&lt;V$13,IF(SUM(L$40:L91)&lt;V$13,0,(SUM(L$40:L91)-V$13)),L91)</f>
        <v>0</v>
      </c>
      <c r="U91" s="210"/>
      <c r="V91" s="176"/>
      <c r="W91" s="210"/>
      <c r="X91" s="176"/>
      <c r="Y91" s="201"/>
      <c r="Z91" s="202"/>
      <c r="AA91" s="242"/>
      <c r="AB91" s="224"/>
      <c r="AC91" s="224"/>
      <c r="AD91" s="224"/>
      <c r="AE91" s="224"/>
      <c r="AF91" s="224"/>
      <c r="AG91" s="224"/>
      <c r="AH91" s="199"/>
    </row>
    <row r="92" spans="1:40" x14ac:dyDescent="0.25">
      <c r="A92" s="219">
        <v>2027</v>
      </c>
      <c r="B92" s="200" t="s">
        <v>69</v>
      </c>
      <c r="C92" s="200">
        <f>+A92</f>
        <v>2027</v>
      </c>
      <c r="D92" s="200">
        <v>53</v>
      </c>
      <c r="E92" s="200">
        <f t="shared" si="10"/>
        <v>0.84736742470576909</v>
      </c>
      <c r="F92" s="200">
        <f t="shared" si="11"/>
        <v>0.82366569612801377</v>
      </c>
      <c r="G92" s="210"/>
      <c r="H92" s="176">
        <f>+G92*F92</f>
        <v>0</v>
      </c>
      <c r="I92" s="210"/>
      <c r="J92" s="176">
        <f>+I92*F92</f>
        <v>0</v>
      </c>
      <c r="K92" s="155"/>
      <c r="L92" s="155"/>
      <c r="M92" s="176">
        <f>IF(SUM(M$40:M91)=K$38,0,IF(SUM(L$40:L92)&lt;$V$13,L92,K$38-SUM(L$40:L91)))</f>
        <v>0</v>
      </c>
      <c r="N92" s="176">
        <f t="shared" si="17"/>
        <v>0</v>
      </c>
      <c r="O92" s="176">
        <f t="shared" si="12"/>
        <v>0</v>
      </c>
      <c r="P92" s="176">
        <f t="shared" si="13"/>
        <v>0</v>
      </c>
      <c r="Q92" s="176">
        <f t="shared" si="14"/>
        <v>0</v>
      </c>
      <c r="R92" s="176">
        <f t="shared" si="15"/>
        <v>0</v>
      </c>
      <c r="S92" s="176">
        <f t="shared" si="16"/>
        <v>0</v>
      </c>
      <c r="T92" s="176">
        <f>IF(SUM(L$40:L91)&lt;V$13,IF(SUM(L$40:L92)&lt;V$13,0,(SUM(L$40:L92)-V$13)),L92)</f>
        <v>0</v>
      </c>
      <c r="U92" s="210">
        <f>SUM(T92:T95)</f>
        <v>0</v>
      </c>
      <c r="V92" s="176">
        <f>+U92*F92</f>
        <v>0</v>
      </c>
      <c r="W92" s="210"/>
      <c r="X92" s="176">
        <f>+W92*F92</f>
        <v>0</v>
      </c>
      <c r="Y92" s="201"/>
      <c r="Z92" s="168"/>
      <c r="AA92" s="242"/>
      <c r="AB92" s="224"/>
      <c r="AC92" s="224"/>
      <c r="AD92" s="224"/>
      <c r="AE92" s="224"/>
      <c r="AF92" s="224"/>
      <c r="AG92" s="224"/>
      <c r="AH92" s="199"/>
    </row>
    <row r="93" spans="1:40" x14ac:dyDescent="0.25">
      <c r="A93" s="219"/>
      <c r="B93" s="200" t="s">
        <v>70</v>
      </c>
      <c r="C93" s="200">
        <f>+C92</f>
        <v>2027</v>
      </c>
      <c r="D93" s="200">
        <v>54</v>
      </c>
      <c r="E93" s="200">
        <f t="shared" si="10"/>
        <v>0.83344882925717434</v>
      </c>
      <c r="F93" s="200">
        <f t="shared" si="11"/>
        <v>0.82366569612801377</v>
      </c>
      <c r="G93" s="210"/>
      <c r="H93" s="200"/>
      <c r="I93" s="210"/>
      <c r="J93" s="200"/>
      <c r="K93" s="155"/>
      <c r="L93" s="155"/>
      <c r="M93" s="176">
        <f>IF(SUM(M$40:M92)=K$38,0,IF(SUM(L$40:L93)&lt;$V$13,L93,K$38-SUM(L$40:L92)))</f>
        <v>0</v>
      </c>
      <c r="N93" s="176">
        <f t="shared" si="17"/>
        <v>0</v>
      </c>
      <c r="O93" s="176">
        <f t="shared" si="12"/>
        <v>0</v>
      </c>
      <c r="P93" s="176">
        <f t="shared" si="13"/>
        <v>0</v>
      </c>
      <c r="Q93" s="176">
        <f t="shared" si="14"/>
        <v>0</v>
      </c>
      <c r="R93" s="176">
        <f t="shared" si="15"/>
        <v>0</v>
      </c>
      <c r="S93" s="176">
        <f t="shared" si="16"/>
        <v>0</v>
      </c>
      <c r="T93" s="176">
        <f>IF(SUM(L$40:L92)&lt;V$13,IF(SUM(L$40:L93)&lt;V$13,0,(SUM(L$40:L93)-V$13)),L93)</f>
        <v>0</v>
      </c>
      <c r="U93" s="210"/>
      <c r="V93" s="176"/>
      <c r="W93" s="210"/>
      <c r="X93" s="176"/>
      <c r="Y93" s="201"/>
      <c r="Z93" s="237"/>
      <c r="AA93" s="238"/>
      <c r="AB93" s="238"/>
      <c r="AC93" s="238"/>
      <c r="AD93" s="237"/>
      <c r="AE93" s="238"/>
      <c r="AF93" s="239"/>
      <c r="AG93" s="239"/>
      <c r="AH93" s="239"/>
    </row>
    <row r="94" spans="1:40" x14ac:dyDescent="0.25">
      <c r="A94" s="219"/>
      <c r="B94" s="200" t="s">
        <v>71</v>
      </c>
      <c r="C94" s="200">
        <f>+C92</f>
        <v>2027</v>
      </c>
      <c r="D94" s="200">
        <v>55</v>
      </c>
      <c r="E94" s="200">
        <f t="shared" si="10"/>
        <v>0.81975885635602874</v>
      </c>
      <c r="F94" s="200">
        <f t="shared" si="11"/>
        <v>0.82366569612801377</v>
      </c>
      <c r="G94" s="210"/>
      <c r="H94" s="200"/>
      <c r="I94" s="210"/>
      <c r="J94" s="200"/>
      <c r="K94" s="155"/>
      <c r="L94" s="155"/>
      <c r="M94" s="176">
        <f>IF(SUM(M$40:M93)=K$38,0,IF(SUM(L$40:L94)&lt;$V$13,L94,K$38-SUM(L$40:L93)))</f>
        <v>0</v>
      </c>
      <c r="N94" s="176">
        <f t="shared" si="17"/>
        <v>0</v>
      </c>
      <c r="O94" s="176">
        <f t="shared" si="12"/>
        <v>0</v>
      </c>
      <c r="P94" s="176">
        <f t="shared" si="13"/>
        <v>0</v>
      </c>
      <c r="Q94" s="176">
        <f t="shared" si="14"/>
        <v>0</v>
      </c>
      <c r="R94" s="176">
        <f t="shared" si="15"/>
        <v>0</v>
      </c>
      <c r="S94" s="176">
        <f t="shared" si="16"/>
        <v>0</v>
      </c>
      <c r="T94" s="176">
        <f>IF(SUM(L$40:L93)&lt;V$13,IF(SUM(L$40:L94)&lt;V$13,0,(SUM(L$40:L94)-V$13)),L94)</f>
        <v>0</v>
      </c>
      <c r="U94" s="210"/>
      <c r="V94" s="176"/>
      <c r="W94" s="210"/>
      <c r="X94" s="176"/>
      <c r="Y94" s="201"/>
      <c r="Z94" s="237"/>
      <c r="AA94" s="238"/>
      <c r="AB94" s="174"/>
      <c r="AC94" s="174"/>
      <c r="AD94" s="174"/>
      <c r="AE94" s="174"/>
      <c r="AF94" s="239"/>
      <c r="AG94" s="239"/>
      <c r="AH94" s="239"/>
    </row>
    <row r="95" spans="1:40" x14ac:dyDescent="0.25">
      <c r="A95" s="219"/>
      <c r="B95" s="200" t="s">
        <v>72</v>
      </c>
      <c r="C95" s="200">
        <f>+C92</f>
        <v>2027</v>
      </c>
      <c r="D95" s="200">
        <v>56</v>
      </c>
      <c r="E95" s="200">
        <f t="shared" si="10"/>
        <v>0.80629375071902099</v>
      </c>
      <c r="F95" s="200">
        <f t="shared" si="11"/>
        <v>0.82366569612801377</v>
      </c>
      <c r="G95" s="210"/>
      <c r="H95" s="200"/>
      <c r="I95" s="210"/>
      <c r="J95" s="200"/>
      <c r="K95" s="155"/>
      <c r="L95" s="155"/>
      <c r="M95" s="176">
        <f>IF(SUM(M$40:M94)=K$38,0,IF(SUM(L$40:L95)&lt;$V$13,L95,K$38-SUM(L$40:L94)))</f>
        <v>0</v>
      </c>
      <c r="N95" s="176">
        <f t="shared" si="17"/>
        <v>0</v>
      </c>
      <c r="O95" s="176">
        <f t="shared" si="12"/>
        <v>0</v>
      </c>
      <c r="P95" s="176">
        <f t="shared" si="13"/>
        <v>0</v>
      </c>
      <c r="Q95" s="176">
        <f t="shared" si="14"/>
        <v>0</v>
      </c>
      <c r="R95" s="176">
        <f t="shared" si="15"/>
        <v>0</v>
      </c>
      <c r="S95" s="176">
        <f t="shared" si="16"/>
        <v>0</v>
      </c>
      <c r="T95" s="176">
        <f>IF(SUM(L$40:L94)&lt;V$13,IF(SUM(L$40:L95)&lt;V$13,0,(SUM(L$40:L95)-V$13)),L95)</f>
        <v>0</v>
      </c>
      <c r="U95" s="210"/>
      <c r="V95" s="176"/>
      <c r="W95" s="210"/>
      <c r="X95" s="176"/>
      <c r="Y95" s="201"/>
      <c r="Z95" s="236"/>
      <c r="AA95" s="236"/>
      <c r="AB95" s="236"/>
      <c r="AC95" s="236"/>
      <c r="AD95" s="236"/>
      <c r="AE95" s="236"/>
      <c r="AF95" s="236"/>
      <c r="AG95" s="236"/>
      <c r="AH95" s="236"/>
      <c r="AI95" s="240"/>
      <c r="AJ95" s="240"/>
      <c r="AK95" s="240"/>
    </row>
    <row r="96" spans="1:40" x14ac:dyDescent="0.25">
      <c r="A96" s="219">
        <v>2028</v>
      </c>
      <c r="B96" s="200" t="s">
        <v>69</v>
      </c>
      <c r="C96" s="200">
        <f>+A96</f>
        <v>2028</v>
      </c>
      <c r="D96" s="200">
        <v>57</v>
      </c>
      <c r="E96" s="200">
        <f t="shared" si="10"/>
        <v>0.7930498187459637</v>
      </c>
      <c r="F96" s="200">
        <f t="shared" si="11"/>
        <v>0.77209007886015535</v>
      </c>
      <c r="G96" s="210"/>
      <c r="H96" s="176">
        <f>+G96*F96</f>
        <v>0</v>
      </c>
      <c r="I96" s="210"/>
      <c r="J96" s="176">
        <f>+I96*F96</f>
        <v>0</v>
      </c>
      <c r="K96" s="155"/>
      <c r="L96" s="155"/>
      <c r="M96" s="176">
        <f>IF(SUM(M$40:M95)=K$38,0,IF(SUM(L$40:L96)&lt;$V$13,L96,K$38-SUM(L$40:L95)))</f>
        <v>0</v>
      </c>
      <c r="N96" s="176">
        <f t="shared" si="17"/>
        <v>0</v>
      </c>
      <c r="O96" s="176">
        <f t="shared" si="12"/>
        <v>0</v>
      </c>
      <c r="P96" s="176">
        <f t="shared" si="13"/>
        <v>0</v>
      </c>
      <c r="Q96" s="176">
        <f t="shared" si="14"/>
        <v>0</v>
      </c>
      <c r="R96" s="176">
        <f t="shared" si="15"/>
        <v>0</v>
      </c>
      <c r="S96" s="176">
        <f t="shared" si="16"/>
        <v>0</v>
      </c>
      <c r="T96" s="176">
        <f>IF(SUM(L$40:L95)&lt;V$13,IF(SUM(L$40:L96)&lt;V$13,0,(SUM(L$40:L96)-V$13)),L96)</f>
        <v>0</v>
      </c>
      <c r="U96" s="210">
        <f>SUM(T96:T99)</f>
        <v>0</v>
      </c>
      <c r="V96" s="176">
        <f>+U96*F96</f>
        <v>0</v>
      </c>
      <c r="W96" s="210"/>
      <c r="X96" s="176">
        <f>+W96*F96</f>
        <v>0</v>
      </c>
      <c r="Y96" s="201"/>
      <c r="Z96" s="236"/>
      <c r="AA96" s="236"/>
      <c r="AB96" s="236"/>
      <c r="AC96" s="236"/>
      <c r="AD96" s="236"/>
      <c r="AE96" s="236"/>
      <c r="AF96" s="236"/>
      <c r="AG96" s="236"/>
      <c r="AH96" s="236"/>
      <c r="AI96" s="240"/>
      <c r="AJ96" s="240"/>
      <c r="AK96" s="240"/>
    </row>
    <row r="97" spans="1:37" x14ac:dyDescent="0.25">
      <c r="A97" s="219"/>
      <c r="B97" s="200" t="s">
        <v>70</v>
      </c>
      <c r="C97" s="200">
        <f>+C96</f>
        <v>2028</v>
      </c>
      <c r="D97" s="200">
        <v>58</v>
      </c>
      <c r="E97" s="200">
        <f t="shared" si="10"/>
        <v>0.78002342750660336</v>
      </c>
      <c r="F97" s="200">
        <f t="shared" si="11"/>
        <v>0.77209007886015535</v>
      </c>
      <c r="G97" s="210"/>
      <c r="H97" s="200"/>
      <c r="I97" s="210"/>
      <c r="J97" s="200"/>
      <c r="K97" s="155"/>
      <c r="L97" s="155"/>
      <c r="M97" s="176">
        <f>IF(SUM(M$40:M96)=K$38,0,IF(SUM(L$40:L97)&lt;$V$13,L97,K$38-SUM(L$40:L96)))</f>
        <v>0</v>
      </c>
      <c r="N97" s="176">
        <f t="shared" si="17"/>
        <v>0</v>
      </c>
      <c r="O97" s="176">
        <f t="shared" si="12"/>
        <v>0</v>
      </c>
      <c r="P97" s="176">
        <f t="shared" si="13"/>
        <v>0</v>
      </c>
      <c r="Q97" s="176">
        <f t="shared" si="14"/>
        <v>0</v>
      </c>
      <c r="R97" s="176">
        <f t="shared" si="15"/>
        <v>0</v>
      </c>
      <c r="S97" s="176">
        <f t="shared" si="16"/>
        <v>0</v>
      </c>
      <c r="T97" s="176">
        <f>IF(SUM(L$40:L96)&lt;V$13,IF(SUM(L$40:L97)&lt;V$13,0,(SUM(L$40:L97)-V$13)),L97)</f>
        <v>0</v>
      </c>
      <c r="U97" s="210"/>
      <c r="V97" s="176"/>
      <c r="W97" s="210"/>
      <c r="X97" s="176"/>
      <c r="Y97" s="201"/>
    </row>
    <row r="98" spans="1:37" x14ac:dyDescent="0.25">
      <c r="A98" s="219"/>
      <c r="B98" s="200" t="s">
        <v>71</v>
      </c>
      <c r="C98" s="200">
        <f>+C96</f>
        <v>2028</v>
      </c>
      <c r="D98" s="200">
        <v>59</v>
      </c>
      <c r="E98" s="200">
        <f t="shared" si="10"/>
        <v>0.76721100374407747</v>
      </c>
      <c r="F98" s="200">
        <f t="shared" si="11"/>
        <v>0.77209007886015535</v>
      </c>
      <c r="G98" s="210"/>
      <c r="H98" s="200"/>
      <c r="I98" s="210"/>
      <c r="J98" s="200"/>
      <c r="K98" s="155"/>
      <c r="L98" s="155"/>
      <c r="M98" s="176">
        <f>IF(SUM(M$40:M97)=K$38,0,IF(SUM(L$40:L98)&lt;$V$13,L98,K$38-SUM(L$40:L97)))</f>
        <v>0</v>
      </c>
      <c r="N98" s="176">
        <f t="shared" si="17"/>
        <v>0</v>
      </c>
      <c r="O98" s="176">
        <f t="shared" si="12"/>
        <v>0</v>
      </c>
      <c r="P98" s="176">
        <f t="shared" si="13"/>
        <v>0</v>
      </c>
      <c r="Q98" s="176">
        <f t="shared" si="14"/>
        <v>0</v>
      </c>
      <c r="R98" s="176">
        <f t="shared" si="15"/>
        <v>0</v>
      </c>
      <c r="S98" s="176">
        <f t="shared" si="16"/>
        <v>0</v>
      </c>
      <c r="T98" s="176">
        <f>IF(SUM(L$40:L97)&lt;V$13,IF(SUM(L$40:L98)&lt;V$13,0,(SUM(L$40:L98)-V$13)),L98)</f>
        <v>0</v>
      </c>
      <c r="U98" s="210"/>
      <c r="V98" s="176"/>
      <c r="W98" s="210"/>
      <c r="X98" s="176"/>
      <c r="Y98" s="201"/>
      <c r="AD98" s="199"/>
      <c r="AF98" s="234"/>
      <c r="AG98" s="234"/>
      <c r="AH98" s="234"/>
      <c r="AI98" s="234"/>
      <c r="AJ98" s="164"/>
      <c r="AK98" s="199"/>
    </row>
    <row r="99" spans="1:37" ht="14.4" x14ac:dyDescent="0.3">
      <c r="A99" s="219"/>
      <c r="B99" s="200" t="s">
        <v>72</v>
      </c>
      <c r="C99" s="200">
        <f>+C96</f>
        <v>2028</v>
      </c>
      <c r="D99" s="200">
        <v>60</v>
      </c>
      <c r="E99" s="200">
        <f t="shared" si="10"/>
        <v>0.75460903289473547</v>
      </c>
      <c r="F99" s="200">
        <f t="shared" si="11"/>
        <v>0.77209007886015535</v>
      </c>
      <c r="G99" s="210"/>
      <c r="H99" s="200"/>
      <c r="I99" s="210"/>
      <c r="J99" s="200"/>
      <c r="K99" s="155"/>
      <c r="L99" s="155"/>
      <c r="M99" s="176">
        <f>IF(SUM(M$40:M98)=K$38,0,IF(SUM(L$40:L99)&lt;$V$13,L99,K$38-SUM(L$40:L98)))</f>
        <v>0</v>
      </c>
      <c r="N99" s="176">
        <f t="shared" si="17"/>
        <v>0</v>
      </c>
      <c r="O99" s="176">
        <f t="shared" si="12"/>
        <v>0</v>
      </c>
      <c r="P99" s="176">
        <f t="shared" si="13"/>
        <v>0</v>
      </c>
      <c r="Q99" s="176">
        <f t="shared" si="14"/>
        <v>0</v>
      </c>
      <c r="R99" s="176">
        <f t="shared" si="15"/>
        <v>0</v>
      </c>
      <c r="S99" s="176">
        <f t="shared" si="16"/>
        <v>0</v>
      </c>
      <c r="T99" s="176">
        <f>IF(SUM(L$40:L98)&lt;V$13,IF(SUM(L$40:L99)&lt;V$13,0,(SUM(L$40:L99)-V$13)),L99)</f>
        <v>0</v>
      </c>
      <c r="U99" s="210"/>
      <c r="V99" s="176"/>
      <c r="W99" s="210"/>
      <c r="X99" s="176"/>
      <c r="Y99" s="201"/>
      <c r="AD99" s="164"/>
      <c r="AF99" s="235"/>
      <c r="AG99" s="235"/>
      <c r="AH99" s="235"/>
      <c r="AI99" s="235"/>
      <c r="AJ99" s="164"/>
      <c r="AK99" s="164"/>
    </row>
    <row r="100" spans="1:37" ht="14.4" x14ac:dyDescent="0.3">
      <c r="A100" s="219">
        <v>2029</v>
      </c>
      <c r="B100" s="200" t="s">
        <v>69</v>
      </c>
      <c r="C100" s="200">
        <f>+A100</f>
        <v>2029</v>
      </c>
      <c r="D100" s="200">
        <v>61</v>
      </c>
      <c r="E100" s="200">
        <f t="shared" si="10"/>
        <v>0.74221405812406371</v>
      </c>
      <c r="F100" s="200">
        <f t="shared" si="11"/>
        <v>0.72374398093377901</v>
      </c>
      <c r="G100" s="210"/>
      <c r="H100" s="176">
        <f>+G100*F100</f>
        <v>0</v>
      </c>
      <c r="I100" s="210"/>
      <c r="J100" s="176">
        <f>+I100*F100</f>
        <v>0</v>
      </c>
      <c r="K100" s="155"/>
      <c r="L100" s="155"/>
      <c r="M100" s="176">
        <f>IF(SUM(M$40:M99)=K$38,0,IF(SUM(L$40:L100)&lt;$V$13,L100,K$38-SUM(L$40:L99)))</f>
        <v>0</v>
      </c>
      <c r="N100" s="176">
        <f t="shared" si="17"/>
        <v>0</v>
      </c>
      <c r="O100" s="176">
        <f t="shared" si="12"/>
        <v>0</v>
      </c>
      <c r="P100" s="176">
        <f t="shared" si="13"/>
        <v>0</v>
      </c>
      <c r="Q100" s="176">
        <f t="shared" si="14"/>
        <v>0</v>
      </c>
      <c r="R100" s="176">
        <f t="shared" si="15"/>
        <v>0</v>
      </c>
      <c r="S100" s="176">
        <f t="shared" si="16"/>
        <v>0</v>
      </c>
      <c r="T100" s="176">
        <f>IF(SUM(L$40:L99)&lt;V$13,IF(SUM(L$40:L100)&lt;V$13,0,(SUM(L$40:L100)-V$13)),L100)</f>
        <v>0</v>
      </c>
      <c r="U100" s="210">
        <f>SUM(T100:T103)</f>
        <v>0</v>
      </c>
      <c r="V100" s="176">
        <f>+U100*F100</f>
        <v>0</v>
      </c>
      <c r="W100" s="210"/>
      <c r="X100" s="176">
        <f>+W100*F100</f>
        <v>0</v>
      </c>
      <c r="Y100" s="201"/>
      <c r="AD100" s="164"/>
      <c r="AF100" s="235"/>
      <c r="AG100" s="235"/>
      <c r="AH100" s="235"/>
      <c r="AI100" s="235"/>
      <c r="AJ100" s="164"/>
      <c r="AK100" s="164"/>
    </row>
    <row r="101" spans="1:37" x14ac:dyDescent="0.25">
      <c r="A101" s="219"/>
      <c r="B101" s="200" t="s">
        <v>70</v>
      </c>
      <c r="C101" s="200">
        <f>+C100</f>
        <v>2029</v>
      </c>
      <c r="D101" s="200">
        <v>62</v>
      </c>
      <c r="E101" s="200">
        <f t="shared" si="10"/>
        <v>0.73002267937844367</v>
      </c>
      <c r="F101" s="200">
        <f t="shared" si="11"/>
        <v>0.72374398093377901</v>
      </c>
      <c r="G101" s="210"/>
      <c r="H101" s="200"/>
      <c r="I101" s="210"/>
      <c r="J101" s="200"/>
      <c r="K101" s="155"/>
      <c r="L101" s="155"/>
      <c r="M101" s="176">
        <f>IF(SUM(M$40:M100)=K$38,0,IF(SUM(L$40:L101)&lt;$V$13,L101,K$38-SUM(L$40:L100)))</f>
        <v>0</v>
      </c>
      <c r="N101" s="176">
        <f t="shared" si="17"/>
        <v>0</v>
      </c>
      <c r="O101" s="176">
        <f t="shared" si="12"/>
        <v>0</v>
      </c>
      <c r="P101" s="176">
        <f t="shared" si="13"/>
        <v>0</v>
      </c>
      <c r="Q101" s="176">
        <f t="shared" si="14"/>
        <v>0</v>
      </c>
      <c r="R101" s="176">
        <f t="shared" si="15"/>
        <v>0</v>
      </c>
      <c r="S101" s="176">
        <f t="shared" si="16"/>
        <v>0</v>
      </c>
      <c r="T101" s="176">
        <f>IF(SUM(L$40:L100)&lt;V$13,IF(SUM(L$40:L101)&lt;V$13,0,(SUM(L$40:L101)-V$13)),L101)</f>
        <v>0</v>
      </c>
      <c r="U101" s="210"/>
      <c r="V101" s="176"/>
      <c r="W101" s="210"/>
      <c r="X101" s="176"/>
      <c r="Y101" s="201"/>
      <c r="AD101" s="164"/>
      <c r="AK101" s="164"/>
    </row>
    <row r="102" spans="1:37" x14ac:dyDescent="0.25">
      <c r="A102" s="219"/>
      <c r="B102" s="200" t="s">
        <v>71</v>
      </c>
      <c r="C102" s="200">
        <f>+C100</f>
        <v>2029</v>
      </c>
      <c r="D102" s="200">
        <v>63</v>
      </c>
      <c r="E102" s="200">
        <f t="shared" si="10"/>
        <v>0.71803155245248729</v>
      </c>
      <c r="F102" s="200">
        <f t="shared" si="11"/>
        <v>0.72374398093377901</v>
      </c>
      <c r="G102" s="210"/>
      <c r="H102" s="200"/>
      <c r="I102" s="210"/>
      <c r="J102" s="200"/>
      <c r="K102" s="155"/>
      <c r="L102" s="155"/>
      <c r="M102" s="176">
        <f>IF(SUM(M$40:M101)=K$38,0,IF(SUM(L$40:L102)&lt;$V$13,L102,K$38-SUM(L$40:L101)))</f>
        <v>0</v>
      </c>
      <c r="N102" s="176">
        <f t="shared" si="17"/>
        <v>0</v>
      </c>
      <c r="O102" s="176">
        <f t="shared" si="12"/>
        <v>0</v>
      </c>
      <c r="P102" s="176">
        <f t="shared" si="13"/>
        <v>0</v>
      </c>
      <c r="Q102" s="176">
        <f t="shared" si="14"/>
        <v>0</v>
      </c>
      <c r="R102" s="176">
        <f t="shared" si="15"/>
        <v>0</v>
      </c>
      <c r="S102" s="176">
        <f t="shared" si="16"/>
        <v>0</v>
      </c>
      <c r="T102" s="176">
        <f>IF(SUM(L$40:L101)&lt;V$13,IF(SUM(L$40:L102)&lt;V$13,0,(SUM(L$40:L102)-V$13)),L102)</f>
        <v>0</v>
      </c>
      <c r="U102" s="210"/>
      <c r="V102" s="176"/>
      <c r="W102" s="210"/>
      <c r="X102" s="176"/>
      <c r="Y102" s="201"/>
      <c r="AD102" s="164"/>
      <c r="AK102" s="164"/>
    </row>
    <row r="103" spans="1:37" x14ac:dyDescent="0.25">
      <c r="A103" s="219"/>
      <c r="B103" s="200" t="s">
        <v>72</v>
      </c>
      <c r="C103" s="200">
        <f>+C100</f>
        <v>2029</v>
      </c>
      <c r="D103" s="200">
        <v>64</v>
      </c>
      <c r="E103" s="200">
        <f t="shared" si="10"/>
        <v>0.70623738807169001</v>
      </c>
      <c r="F103" s="200">
        <f t="shared" si="11"/>
        <v>0.72374398093377901</v>
      </c>
      <c r="G103" s="210"/>
      <c r="H103" s="200"/>
      <c r="I103" s="210"/>
      <c r="J103" s="200"/>
      <c r="K103" s="155"/>
      <c r="L103" s="155"/>
      <c r="M103" s="176">
        <f>IF(SUM(M$40:M102)=K$38,0,IF(SUM(L$40:L103)&lt;$V$13,L103,K$38-SUM(L$40:L102)))</f>
        <v>0</v>
      </c>
      <c r="N103" s="176">
        <f t="shared" si="17"/>
        <v>0</v>
      </c>
      <c r="O103" s="176">
        <f t="shared" si="12"/>
        <v>0</v>
      </c>
      <c r="P103" s="176">
        <f t="shared" si="13"/>
        <v>0</v>
      </c>
      <c r="Q103" s="176">
        <f t="shared" si="14"/>
        <v>0</v>
      </c>
      <c r="R103" s="176">
        <f t="shared" si="15"/>
        <v>0</v>
      </c>
      <c r="S103" s="176">
        <f t="shared" si="16"/>
        <v>0</v>
      </c>
      <c r="T103" s="176">
        <f>IF(SUM(L$40:L102)&lt;V$13,IF(SUM(L$40:L103)&lt;V$13,0,(SUM(L$40:L103)-V$13)),L103)</f>
        <v>0</v>
      </c>
      <c r="U103" s="210"/>
      <c r="V103" s="176"/>
      <c r="W103" s="210"/>
      <c r="X103" s="176"/>
      <c r="Y103" s="201"/>
      <c r="AD103" s="164"/>
      <c r="AK103" s="164"/>
    </row>
    <row r="104" spans="1:37" x14ac:dyDescent="0.25">
      <c r="A104" s="219">
        <v>2030</v>
      </c>
      <c r="B104" s="200" t="s">
        <v>69</v>
      </c>
      <c r="C104" s="200">
        <f>+A104</f>
        <v>2030</v>
      </c>
      <c r="D104" s="200">
        <v>65</v>
      </c>
      <c r="E104" s="200">
        <f t="shared" ref="E104:E135" si="18">IF(D104&lt;$B$14,1,(1/(1+$K$17/4)^(D104-$B$14+1)))</f>
        <v>0.69463695099015454</v>
      </c>
      <c r="F104" s="200">
        <f t="shared" ref="F104:F135" si="19">IF(C104&lt;($B$12+1),1,(1/(1+$K$17)^(C104-$B$12)))</f>
        <v>0.67842517897804555</v>
      </c>
      <c r="G104" s="210"/>
      <c r="H104" s="176">
        <f>+G104*F104</f>
        <v>0</v>
      </c>
      <c r="I104" s="210"/>
      <c r="J104" s="176">
        <f>+I104*F104</f>
        <v>0</v>
      </c>
      <c r="K104" s="155"/>
      <c r="L104" s="155"/>
      <c r="M104" s="176">
        <f>IF(SUM(M$40:M103)=K$38,0,IF(SUM(L$40:L104)&lt;$V$13,L104,K$38-SUM(L$40:L103)))</f>
        <v>0</v>
      </c>
      <c r="N104" s="176">
        <f t="shared" si="17"/>
        <v>0</v>
      </c>
      <c r="O104" s="176">
        <f t="shared" ref="O104:O135" si="20">+N104*($K$21/4)</f>
        <v>0</v>
      </c>
      <c r="P104" s="176">
        <f t="shared" ref="P104:P135" si="21">+N104*($K$20/4)</f>
        <v>0</v>
      </c>
      <c r="Q104" s="176">
        <f t="shared" ref="Q104:Q135" si="22">+P104-O104</f>
        <v>0</v>
      </c>
      <c r="R104" s="176">
        <f t="shared" ref="R104:R135" si="23">+Q104*E104</f>
        <v>0</v>
      </c>
      <c r="S104" s="176">
        <f t="shared" ref="S104:S135" si="24">+L104-T104</f>
        <v>0</v>
      </c>
      <c r="T104" s="176">
        <f>IF(SUM(L$40:L103)&lt;V$13,IF(SUM(L$40:L104)&lt;V$13,0,(SUM(L$40:L104)-V$13)),L104)</f>
        <v>0</v>
      </c>
      <c r="U104" s="210">
        <f>SUM(T104:T107)</f>
        <v>0</v>
      </c>
      <c r="V104" s="176">
        <f>+U104*F104</f>
        <v>0</v>
      </c>
      <c r="W104" s="210"/>
      <c r="X104" s="176">
        <f>+W104*F104</f>
        <v>0</v>
      </c>
      <c r="Y104" s="201"/>
      <c r="AG104" s="201"/>
      <c r="AH104" s="201"/>
      <c r="AJ104" s="201"/>
    </row>
    <row r="105" spans="1:37" x14ac:dyDescent="0.25">
      <c r="A105" s="219"/>
      <c r="B105" s="200" t="s">
        <v>70</v>
      </c>
      <c r="C105" s="200">
        <f>+C104</f>
        <v>2030</v>
      </c>
      <c r="D105" s="200">
        <v>66</v>
      </c>
      <c r="E105" s="200">
        <f t="shared" si="18"/>
        <v>0.68322705910313231</v>
      </c>
      <c r="F105" s="200">
        <f t="shared" si="19"/>
        <v>0.67842517897804555</v>
      </c>
      <c r="G105" s="210"/>
      <c r="H105" s="200"/>
      <c r="I105" s="210"/>
      <c r="J105" s="200"/>
      <c r="K105" s="155"/>
      <c r="L105" s="155"/>
      <c r="M105" s="176">
        <f>IF(SUM(M$40:M104)=K$38,0,IF(SUM(L$40:L105)&lt;$V$13,L105,K$38-SUM(L$40:L104)))</f>
        <v>0</v>
      </c>
      <c r="N105" s="176">
        <f t="shared" ref="N105:N136" si="25">+N104+K105-M104</f>
        <v>0</v>
      </c>
      <c r="O105" s="176">
        <f t="shared" si="20"/>
        <v>0</v>
      </c>
      <c r="P105" s="176">
        <f t="shared" si="21"/>
        <v>0</v>
      </c>
      <c r="Q105" s="176">
        <f t="shared" si="22"/>
        <v>0</v>
      </c>
      <c r="R105" s="176">
        <f t="shared" si="23"/>
        <v>0</v>
      </c>
      <c r="S105" s="176">
        <f t="shared" si="24"/>
        <v>0</v>
      </c>
      <c r="T105" s="176">
        <f>IF(SUM(L$40:L104)&lt;V$13,IF(SUM(L$40:L105)&lt;V$13,0,(SUM(L$40:L105)-V$13)),L105)</f>
        <v>0</v>
      </c>
      <c r="U105" s="210"/>
      <c r="V105" s="176"/>
      <c r="W105" s="210"/>
      <c r="X105" s="176"/>
      <c r="Y105" s="201"/>
    </row>
    <row r="106" spans="1:37" x14ac:dyDescent="0.25">
      <c r="A106" s="219"/>
      <c r="B106" s="200" t="s">
        <v>71</v>
      </c>
      <c r="C106" s="200">
        <f>+C104</f>
        <v>2030</v>
      </c>
      <c r="D106" s="200">
        <v>67</v>
      </c>
      <c r="E106" s="200">
        <f t="shared" si="18"/>
        <v>0.67200458257414419</v>
      </c>
      <c r="F106" s="200">
        <f t="shared" si="19"/>
        <v>0.67842517897804555</v>
      </c>
      <c r="G106" s="210"/>
      <c r="H106" s="200"/>
      <c r="I106" s="210"/>
      <c r="J106" s="200"/>
      <c r="K106" s="155"/>
      <c r="L106" s="155"/>
      <c r="M106" s="176">
        <f>IF(SUM(M$40:M105)=K$38,0,IF(SUM(L$40:L106)&lt;$V$13,L106,K$38-SUM(L$40:L105)))</f>
        <v>0</v>
      </c>
      <c r="N106" s="176">
        <f t="shared" si="25"/>
        <v>0</v>
      </c>
      <c r="O106" s="176">
        <f t="shared" si="20"/>
        <v>0</v>
      </c>
      <c r="P106" s="176">
        <f t="shared" si="21"/>
        <v>0</v>
      </c>
      <c r="Q106" s="176">
        <f t="shared" si="22"/>
        <v>0</v>
      </c>
      <c r="R106" s="176">
        <f t="shared" si="23"/>
        <v>0</v>
      </c>
      <c r="S106" s="176">
        <f t="shared" si="24"/>
        <v>0</v>
      </c>
      <c r="T106" s="176">
        <f>IF(SUM(L$40:L105)&lt;V$13,IF(SUM(L$40:L106)&lt;V$13,0,(SUM(L$40:L106)-V$13)),L106)</f>
        <v>0</v>
      </c>
      <c r="U106" s="210"/>
      <c r="V106" s="176"/>
      <c r="W106" s="210"/>
      <c r="X106" s="176"/>
      <c r="Y106" s="201"/>
    </row>
    <row r="107" spans="1:37" x14ac:dyDescent="0.25">
      <c r="A107" s="219"/>
      <c r="B107" s="200" t="s">
        <v>72</v>
      </c>
      <c r="C107" s="200">
        <f>+C104</f>
        <v>2030</v>
      </c>
      <c r="D107" s="200">
        <v>68</v>
      </c>
      <c r="E107" s="200">
        <f t="shared" si="18"/>
        <v>0.6609664429764377</v>
      </c>
      <c r="F107" s="200">
        <f t="shared" si="19"/>
        <v>0.67842517897804555</v>
      </c>
      <c r="G107" s="210"/>
      <c r="H107" s="200"/>
      <c r="I107" s="210"/>
      <c r="J107" s="200"/>
      <c r="K107" s="155"/>
      <c r="L107" s="155"/>
      <c r="M107" s="176">
        <f>IF(SUM(M$40:M106)=K$38,0,IF(SUM(L$40:L107)&lt;$V$13,L107,K$38-SUM(L$40:L106)))</f>
        <v>0</v>
      </c>
      <c r="N107" s="176">
        <f t="shared" si="25"/>
        <v>0</v>
      </c>
      <c r="O107" s="176">
        <f t="shared" si="20"/>
        <v>0</v>
      </c>
      <c r="P107" s="176">
        <f t="shared" si="21"/>
        <v>0</v>
      </c>
      <c r="Q107" s="176">
        <f t="shared" si="22"/>
        <v>0</v>
      </c>
      <c r="R107" s="176">
        <f t="shared" si="23"/>
        <v>0</v>
      </c>
      <c r="S107" s="176">
        <f t="shared" si="24"/>
        <v>0</v>
      </c>
      <c r="T107" s="176">
        <f>IF(SUM(L$40:L106)&lt;V$13,IF(SUM(L$40:L107)&lt;V$13,0,(SUM(L$40:L107)-V$13)),L107)</f>
        <v>0</v>
      </c>
      <c r="U107" s="210"/>
      <c r="V107" s="176"/>
      <c r="W107" s="210"/>
      <c r="X107" s="176"/>
      <c r="Y107" s="201"/>
    </row>
    <row r="108" spans="1:37" x14ac:dyDescent="0.25">
      <c r="A108" s="219">
        <v>2031</v>
      </c>
      <c r="B108" s="200" t="s">
        <v>69</v>
      </c>
      <c r="C108" s="200">
        <f>+A108</f>
        <v>2031</v>
      </c>
      <c r="D108" s="200">
        <v>69</v>
      </c>
      <c r="E108" s="200">
        <f t="shared" si="18"/>
        <v>0.65010961244854704</v>
      </c>
      <c r="F108" s="200">
        <f t="shared" si="19"/>
        <v>0.63594411227788306</v>
      </c>
      <c r="G108" s="210"/>
      <c r="H108" s="176">
        <f>+G108*F108</f>
        <v>0</v>
      </c>
      <c r="I108" s="210"/>
      <c r="J108" s="176">
        <f>+I108*F108</f>
        <v>0</v>
      </c>
      <c r="K108" s="155"/>
      <c r="L108" s="155"/>
      <c r="M108" s="176">
        <f>IF(SUM(M$40:M107)=K$38,0,IF(SUM(L$40:L108)&lt;$V$13,L108,K$38-SUM(L$40:L107)))</f>
        <v>0</v>
      </c>
      <c r="N108" s="176">
        <f t="shared" si="25"/>
        <v>0</v>
      </c>
      <c r="O108" s="176">
        <f t="shared" si="20"/>
        <v>0</v>
      </c>
      <c r="P108" s="176">
        <f t="shared" si="21"/>
        <v>0</v>
      </c>
      <c r="Q108" s="176">
        <f t="shared" si="22"/>
        <v>0</v>
      </c>
      <c r="R108" s="176">
        <f t="shared" si="23"/>
        <v>0</v>
      </c>
      <c r="S108" s="176">
        <f t="shared" si="24"/>
        <v>0</v>
      </c>
      <c r="T108" s="176">
        <f>IF(SUM(L$40:L107)&lt;V$13,IF(SUM(L$40:L108)&lt;V$13,0,(SUM(L$40:L108)-V$13)),L108)</f>
        <v>0</v>
      </c>
      <c r="U108" s="210">
        <f>SUM(T108:T111)</f>
        <v>0</v>
      </c>
      <c r="V108" s="176">
        <f>+U108*F108</f>
        <v>0</v>
      </c>
      <c r="W108" s="210"/>
      <c r="X108" s="176">
        <f>+W108*F108</f>
        <v>0</v>
      </c>
      <c r="Y108" s="201"/>
    </row>
    <row r="109" spans="1:37" x14ac:dyDescent="0.25">
      <c r="A109" s="219"/>
      <c r="B109" s="200" t="s">
        <v>70</v>
      </c>
      <c r="C109" s="200">
        <f>+C108</f>
        <v>2031</v>
      </c>
      <c r="D109" s="200">
        <v>70</v>
      </c>
      <c r="E109" s="200">
        <f t="shared" si="18"/>
        <v>0.63943111286372301</v>
      </c>
      <c r="F109" s="200">
        <f t="shared" si="19"/>
        <v>0.63594411227788306</v>
      </c>
      <c r="G109" s="210"/>
      <c r="H109" s="200"/>
      <c r="I109" s="210"/>
      <c r="J109" s="200"/>
      <c r="K109" s="155"/>
      <c r="L109" s="155"/>
      <c r="M109" s="176">
        <f>IF(SUM(M$40:M108)=K$38,0,IF(SUM(L$40:L109)&lt;$V$13,L109,K$38-SUM(L$40:L108)))</f>
        <v>0</v>
      </c>
      <c r="N109" s="176">
        <f t="shared" si="25"/>
        <v>0</v>
      </c>
      <c r="O109" s="176">
        <f t="shared" si="20"/>
        <v>0</v>
      </c>
      <c r="P109" s="176">
        <f t="shared" si="21"/>
        <v>0</v>
      </c>
      <c r="Q109" s="176">
        <f t="shared" si="22"/>
        <v>0</v>
      </c>
      <c r="R109" s="176">
        <f t="shared" si="23"/>
        <v>0</v>
      </c>
      <c r="S109" s="176">
        <f t="shared" si="24"/>
        <v>0</v>
      </c>
      <c r="T109" s="176">
        <f>IF(SUM(L$40:L108)&lt;V$13,IF(SUM(L$40:L109)&lt;V$13,0,(SUM(L$40:L109)-V$13)),L109)</f>
        <v>0</v>
      </c>
      <c r="U109" s="210"/>
      <c r="V109" s="176"/>
      <c r="W109" s="210"/>
      <c r="X109" s="176"/>
      <c r="Y109" s="201"/>
    </row>
    <row r="110" spans="1:37" x14ac:dyDescent="0.25">
      <c r="A110" s="219"/>
      <c r="B110" s="200" t="s">
        <v>71</v>
      </c>
      <c r="C110" s="200">
        <f>+C108</f>
        <v>2031</v>
      </c>
      <c r="D110" s="200">
        <v>71</v>
      </c>
      <c r="E110" s="200">
        <f t="shared" si="18"/>
        <v>0.62892801501300588</v>
      </c>
      <c r="F110" s="200">
        <f t="shared" si="19"/>
        <v>0.63594411227788306</v>
      </c>
      <c r="G110" s="210"/>
      <c r="H110" s="200"/>
      <c r="I110" s="210"/>
      <c r="J110" s="200"/>
      <c r="K110" s="155"/>
      <c r="L110" s="155"/>
      <c r="M110" s="176">
        <f>IF(SUM(M$40:M109)=K$38,0,IF(SUM(L$40:L110)&lt;$V$13,L110,K$38-SUM(L$40:L109)))</f>
        <v>0</v>
      </c>
      <c r="N110" s="176">
        <f t="shared" si="25"/>
        <v>0</v>
      </c>
      <c r="O110" s="176">
        <f t="shared" si="20"/>
        <v>0</v>
      </c>
      <c r="P110" s="176">
        <f t="shared" si="21"/>
        <v>0</v>
      </c>
      <c r="Q110" s="176">
        <f t="shared" si="22"/>
        <v>0</v>
      </c>
      <c r="R110" s="176">
        <f t="shared" si="23"/>
        <v>0</v>
      </c>
      <c r="S110" s="176">
        <f t="shared" si="24"/>
        <v>0</v>
      </c>
      <c r="T110" s="176">
        <f>IF(SUM(L$40:L109)&lt;V$13,IF(SUM(L$40:L110)&lt;V$13,0,(SUM(L$40:L110)-V$13)),L110)</f>
        <v>0</v>
      </c>
      <c r="U110" s="210"/>
      <c r="V110" s="176"/>
      <c r="W110" s="210"/>
      <c r="X110" s="176"/>
      <c r="Y110" s="201"/>
    </row>
    <row r="111" spans="1:37" x14ac:dyDescent="0.25">
      <c r="A111" s="219"/>
      <c r="B111" s="200" t="s">
        <v>72</v>
      </c>
      <c r="C111" s="200">
        <f>+C108</f>
        <v>2031</v>
      </c>
      <c r="D111" s="200">
        <v>72</v>
      </c>
      <c r="E111" s="200">
        <f t="shared" si="18"/>
        <v>0.61859743780171705</v>
      </c>
      <c r="F111" s="200">
        <f t="shared" si="19"/>
        <v>0.63594411227788306</v>
      </c>
      <c r="G111" s="210"/>
      <c r="H111" s="200"/>
      <c r="I111" s="210"/>
      <c r="J111" s="200"/>
      <c r="K111" s="155"/>
      <c r="L111" s="155"/>
      <c r="M111" s="176">
        <f>IF(SUM(M$40:M110)=K$38,0,IF(SUM(L$40:L111)&lt;$V$13,L111,K$38-SUM(L$40:L110)))</f>
        <v>0</v>
      </c>
      <c r="N111" s="176">
        <f t="shared" si="25"/>
        <v>0</v>
      </c>
      <c r="O111" s="176">
        <f t="shared" si="20"/>
        <v>0</v>
      </c>
      <c r="P111" s="176">
        <f t="shared" si="21"/>
        <v>0</v>
      </c>
      <c r="Q111" s="176">
        <f t="shared" si="22"/>
        <v>0</v>
      </c>
      <c r="R111" s="176">
        <f t="shared" si="23"/>
        <v>0</v>
      </c>
      <c r="S111" s="176">
        <f t="shared" si="24"/>
        <v>0</v>
      </c>
      <c r="T111" s="176">
        <f>IF(SUM(L$40:L110)&lt;V$13,IF(SUM(L$40:L111)&lt;V$13,0,(SUM(L$40:L111)-V$13)),L111)</f>
        <v>0</v>
      </c>
      <c r="U111" s="210"/>
      <c r="V111" s="176"/>
      <c r="W111" s="210"/>
      <c r="X111" s="176"/>
      <c r="Y111" s="201"/>
    </row>
    <row r="112" spans="1:37" x14ac:dyDescent="0.25">
      <c r="A112" s="219">
        <v>2032</v>
      </c>
      <c r="B112" s="200" t="s">
        <v>69</v>
      </c>
      <c r="C112" s="200">
        <f>+A112</f>
        <v>2032</v>
      </c>
      <c r="D112" s="200">
        <v>73</v>
      </c>
      <c r="E112" s="200">
        <f t="shared" si="18"/>
        <v>0.60843654745914955</v>
      </c>
      <c r="F112" s="200">
        <f t="shared" si="19"/>
        <v>0.59612308987428098</v>
      </c>
      <c r="G112" s="210"/>
      <c r="H112" s="176">
        <f>+G112*F112</f>
        <v>0</v>
      </c>
      <c r="I112" s="210"/>
      <c r="J112" s="176">
        <f>+I112*F112</f>
        <v>0</v>
      </c>
      <c r="K112" s="155"/>
      <c r="L112" s="155"/>
      <c r="M112" s="176">
        <f>IF(SUM(M$40:M111)=K$38,0,IF(SUM(L$40:L112)&lt;$V$13,L112,K$38-SUM(L$40:L111)))</f>
        <v>0</v>
      </c>
      <c r="N112" s="176">
        <f t="shared" si="25"/>
        <v>0</v>
      </c>
      <c r="O112" s="176">
        <f t="shared" si="20"/>
        <v>0</v>
      </c>
      <c r="P112" s="176">
        <f t="shared" si="21"/>
        <v>0</v>
      </c>
      <c r="Q112" s="176">
        <f t="shared" si="22"/>
        <v>0</v>
      </c>
      <c r="R112" s="176">
        <f t="shared" si="23"/>
        <v>0</v>
      </c>
      <c r="S112" s="176">
        <f t="shared" si="24"/>
        <v>0</v>
      </c>
      <c r="T112" s="176">
        <f>IF(SUM(L$40:L111)&lt;V$13,IF(SUM(L$40:L112)&lt;V$13,0,(SUM(L$40:L112)-V$13)),L112)</f>
        <v>0</v>
      </c>
      <c r="U112" s="210">
        <f>SUM(T112:T115)</f>
        <v>0</v>
      </c>
      <c r="V112" s="176">
        <f>+U112*F112</f>
        <v>0</v>
      </c>
      <c r="W112" s="210"/>
      <c r="X112" s="176">
        <f>+W112*F112</f>
        <v>0</v>
      </c>
      <c r="Y112" s="201"/>
    </row>
    <row r="113" spans="1:25" x14ac:dyDescent="0.25">
      <c r="A113" s="219"/>
      <c r="B113" s="200" t="s">
        <v>70</v>
      </c>
      <c r="C113" s="200">
        <f>+C112</f>
        <v>2032</v>
      </c>
      <c r="D113" s="200">
        <v>74</v>
      </c>
      <c r="E113" s="200">
        <f t="shared" si="18"/>
        <v>0.59844255676123681</v>
      </c>
      <c r="F113" s="200">
        <f t="shared" si="19"/>
        <v>0.59612308987428098</v>
      </c>
      <c r="G113" s="210"/>
      <c r="H113" s="200"/>
      <c r="I113" s="210"/>
      <c r="J113" s="200"/>
      <c r="K113" s="155"/>
      <c r="L113" s="155"/>
      <c r="M113" s="176">
        <f>IF(SUM(M$40:M112)=K$38,0,IF(SUM(L$40:L113)&lt;$V$13,L113,K$38-SUM(L$40:L112)))</f>
        <v>0</v>
      </c>
      <c r="N113" s="176">
        <f t="shared" si="25"/>
        <v>0</v>
      </c>
      <c r="O113" s="176">
        <f t="shared" si="20"/>
        <v>0</v>
      </c>
      <c r="P113" s="176">
        <f t="shared" si="21"/>
        <v>0</v>
      </c>
      <c r="Q113" s="176">
        <f t="shared" si="22"/>
        <v>0</v>
      </c>
      <c r="R113" s="176">
        <f t="shared" si="23"/>
        <v>0</v>
      </c>
      <c r="S113" s="176">
        <f t="shared" si="24"/>
        <v>0</v>
      </c>
      <c r="T113" s="176">
        <f>IF(SUM(L$40:L112)&lt;V$13,IF(SUM(L$40:L113)&lt;V$13,0,(SUM(L$40:L113)-V$13)),L113)</f>
        <v>0</v>
      </c>
      <c r="U113" s="210"/>
      <c r="V113" s="176"/>
      <c r="W113" s="210"/>
      <c r="X113" s="176"/>
      <c r="Y113" s="201"/>
    </row>
    <row r="114" spans="1:25" x14ac:dyDescent="0.25">
      <c r="A114" s="219"/>
      <c r="B114" s="200" t="s">
        <v>71</v>
      </c>
      <c r="C114" s="200">
        <f>+C112</f>
        <v>2032</v>
      </c>
      <c r="D114" s="200">
        <v>75</v>
      </c>
      <c r="E114" s="200">
        <f t="shared" si="18"/>
        <v>0.58861272426599487</v>
      </c>
      <c r="F114" s="200">
        <f t="shared" si="19"/>
        <v>0.59612308987428098</v>
      </c>
      <c r="G114" s="210"/>
      <c r="H114" s="200"/>
      <c r="I114" s="210"/>
      <c r="J114" s="200"/>
      <c r="K114" s="155"/>
      <c r="L114" s="155"/>
      <c r="M114" s="176">
        <f>IF(SUM(M$40:M113)=K$38,0,IF(SUM(L$40:L114)&lt;$V$13,L114,K$38-SUM(L$40:L113)))</f>
        <v>0</v>
      </c>
      <c r="N114" s="176">
        <f t="shared" si="25"/>
        <v>0</v>
      </c>
      <c r="O114" s="176">
        <f t="shared" si="20"/>
        <v>0</v>
      </c>
      <c r="P114" s="176">
        <f t="shared" si="21"/>
        <v>0</v>
      </c>
      <c r="Q114" s="176">
        <f t="shared" si="22"/>
        <v>0</v>
      </c>
      <c r="R114" s="176">
        <f t="shared" si="23"/>
        <v>0</v>
      </c>
      <c r="S114" s="176">
        <f t="shared" si="24"/>
        <v>0</v>
      </c>
      <c r="T114" s="176">
        <f>IF(SUM(L$40:L113)&lt;V$13,IF(SUM(L$40:L114)&lt;V$13,0,(SUM(L$40:L114)-V$13)),L114)</f>
        <v>0</v>
      </c>
      <c r="U114" s="210"/>
      <c r="V114" s="176"/>
      <c r="W114" s="210"/>
      <c r="X114" s="176"/>
      <c r="Y114" s="201"/>
    </row>
    <row r="115" spans="1:25" x14ac:dyDescent="0.25">
      <c r="A115" s="219"/>
      <c r="B115" s="200" t="s">
        <v>72</v>
      </c>
      <c r="C115" s="200">
        <f>+C112</f>
        <v>2032</v>
      </c>
      <c r="D115" s="200">
        <v>76</v>
      </c>
      <c r="E115" s="200">
        <f t="shared" si="18"/>
        <v>0.57894435356151752</v>
      </c>
      <c r="F115" s="200">
        <f t="shared" si="19"/>
        <v>0.59612308987428098</v>
      </c>
      <c r="G115" s="210"/>
      <c r="H115" s="200"/>
      <c r="I115" s="210"/>
      <c r="J115" s="200"/>
      <c r="K115" s="155"/>
      <c r="L115" s="155"/>
      <c r="M115" s="176">
        <f>IF(SUM(M$40:M114)=K$38,0,IF(SUM(L$40:L115)&lt;$V$13,L115,K$38-SUM(L$40:L114)))</f>
        <v>0</v>
      </c>
      <c r="N115" s="176">
        <f t="shared" si="25"/>
        <v>0</v>
      </c>
      <c r="O115" s="176">
        <f t="shared" si="20"/>
        <v>0</v>
      </c>
      <c r="P115" s="176">
        <f t="shared" si="21"/>
        <v>0</v>
      </c>
      <c r="Q115" s="176">
        <f t="shared" si="22"/>
        <v>0</v>
      </c>
      <c r="R115" s="176">
        <f t="shared" si="23"/>
        <v>0</v>
      </c>
      <c r="S115" s="176">
        <f t="shared" si="24"/>
        <v>0</v>
      </c>
      <c r="T115" s="176">
        <f>IF(SUM(L$40:L114)&lt;V$13,IF(SUM(L$40:L115)&lt;V$13,0,(SUM(L$40:L115)-V$13)),L115)</f>
        <v>0</v>
      </c>
      <c r="U115" s="210"/>
      <c r="V115" s="176"/>
      <c r="W115" s="210"/>
      <c r="X115" s="176"/>
      <c r="Y115" s="201"/>
    </row>
    <row r="116" spans="1:25" x14ac:dyDescent="0.25">
      <c r="A116" s="219">
        <v>2033</v>
      </c>
      <c r="B116" s="200" t="s">
        <v>69</v>
      </c>
      <c r="C116" s="200">
        <f>+A116</f>
        <v>2033</v>
      </c>
      <c r="D116" s="200">
        <v>77</v>
      </c>
      <c r="E116" s="200">
        <f t="shared" si="18"/>
        <v>0.569434792526328</v>
      </c>
      <c r="F116" s="200">
        <f t="shared" si="19"/>
        <v>0.55879554731372416</v>
      </c>
      <c r="G116" s="210"/>
      <c r="H116" s="176">
        <f>+G116*F116</f>
        <v>0</v>
      </c>
      <c r="I116" s="210"/>
      <c r="J116" s="176">
        <f>+I116*F116</f>
        <v>0</v>
      </c>
      <c r="K116" s="155"/>
      <c r="L116" s="155"/>
      <c r="M116" s="176">
        <f>IF(SUM(M$40:M115)=K$38,0,IF(SUM(L$40:L116)&lt;$V$13,L116,K$38-SUM(L$40:L115)))</f>
        <v>0</v>
      </c>
      <c r="N116" s="176">
        <f t="shared" si="25"/>
        <v>0</v>
      </c>
      <c r="O116" s="176">
        <f t="shared" si="20"/>
        <v>0</v>
      </c>
      <c r="P116" s="176">
        <f t="shared" si="21"/>
        <v>0</v>
      </c>
      <c r="Q116" s="176">
        <f t="shared" si="22"/>
        <v>0</v>
      </c>
      <c r="R116" s="176">
        <f t="shared" si="23"/>
        <v>0</v>
      </c>
      <c r="S116" s="176">
        <f t="shared" si="24"/>
        <v>0</v>
      </c>
      <c r="T116" s="176">
        <f>IF(SUM(L$40:L115)&lt;V$13,IF(SUM(L$40:L116)&lt;V$13,0,(SUM(L$40:L116)-V$13)),L116)</f>
        <v>0</v>
      </c>
      <c r="U116" s="210">
        <f>SUM(T116:T119)</f>
        <v>0</v>
      </c>
      <c r="V116" s="176">
        <f>+U116*F116</f>
        <v>0</v>
      </c>
      <c r="W116" s="210"/>
      <c r="X116" s="176">
        <f>+W116*F116</f>
        <v>0</v>
      </c>
      <c r="Y116" s="201"/>
    </row>
    <row r="117" spans="1:25" x14ac:dyDescent="0.25">
      <c r="A117" s="219"/>
      <c r="B117" s="200" t="s">
        <v>70</v>
      </c>
      <c r="C117" s="200">
        <f>+C116</f>
        <v>2033</v>
      </c>
      <c r="D117" s="200">
        <v>78</v>
      </c>
      <c r="E117" s="200">
        <f t="shared" si="18"/>
        <v>0.56008143260187659</v>
      </c>
      <c r="F117" s="200">
        <f t="shared" si="19"/>
        <v>0.55879554731372416</v>
      </c>
      <c r="G117" s="210"/>
      <c r="H117" s="200"/>
      <c r="I117" s="210"/>
      <c r="J117" s="200"/>
      <c r="K117" s="155"/>
      <c r="L117" s="155"/>
      <c r="M117" s="176">
        <f>IF(SUM(M$40:M116)=K$38,0,IF(SUM(L$40:L117)&lt;$V$13,L117,K$38-SUM(L$40:L116)))</f>
        <v>0</v>
      </c>
      <c r="N117" s="176">
        <f t="shared" si="25"/>
        <v>0</v>
      </c>
      <c r="O117" s="176">
        <f t="shared" si="20"/>
        <v>0</v>
      </c>
      <c r="P117" s="176">
        <f t="shared" si="21"/>
        <v>0</v>
      </c>
      <c r="Q117" s="176">
        <f t="shared" si="22"/>
        <v>0</v>
      </c>
      <c r="R117" s="176">
        <f t="shared" si="23"/>
        <v>0</v>
      </c>
      <c r="S117" s="176">
        <f t="shared" si="24"/>
        <v>0</v>
      </c>
      <c r="T117" s="176">
        <f>IF(SUM(L$40:L116)&lt;V$13,IF(SUM(L$40:L117)&lt;V$13,0,(SUM(L$40:L117)-V$13)),L117)</f>
        <v>0</v>
      </c>
      <c r="U117" s="210"/>
      <c r="V117" s="176"/>
      <c r="W117" s="210"/>
      <c r="X117" s="176"/>
      <c r="Y117" s="201"/>
    </row>
    <row r="118" spans="1:25" x14ac:dyDescent="0.25">
      <c r="A118" s="219"/>
      <c r="B118" s="200" t="s">
        <v>71</v>
      </c>
      <c r="C118" s="200">
        <f>+C116</f>
        <v>2033</v>
      </c>
      <c r="D118" s="200">
        <v>79</v>
      </c>
      <c r="E118" s="200">
        <f t="shared" si="18"/>
        <v>0.55088170807699099</v>
      </c>
      <c r="F118" s="200">
        <f t="shared" si="19"/>
        <v>0.55879554731372416</v>
      </c>
      <c r="G118" s="210"/>
      <c r="H118" s="200"/>
      <c r="I118" s="210"/>
      <c r="J118" s="200"/>
      <c r="K118" s="155"/>
      <c r="L118" s="155"/>
      <c r="M118" s="176">
        <f>IF(SUM(M$40:M117)=K$38,0,IF(SUM(L$40:L118)&lt;$V$13,L118,K$38-SUM(L$40:L117)))</f>
        <v>0</v>
      </c>
      <c r="N118" s="176">
        <f t="shared" si="25"/>
        <v>0</v>
      </c>
      <c r="O118" s="176">
        <f t="shared" si="20"/>
        <v>0</v>
      </c>
      <c r="P118" s="176">
        <f t="shared" si="21"/>
        <v>0</v>
      </c>
      <c r="Q118" s="176">
        <f t="shared" si="22"/>
        <v>0</v>
      </c>
      <c r="R118" s="176">
        <f t="shared" si="23"/>
        <v>0</v>
      </c>
      <c r="S118" s="176">
        <f t="shared" si="24"/>
        <v>0</v>
      </c>
      <c r="T118" s="176">
        <f>IF(SUM(L$40:L117)&lt;V$13,IF(SUM(L$40:L118)&lt;V$13,0,(SUM(L$40:L118)-V$13)),L118)</f>
        <v>0</v>
      </c>
      <c r="U118" s="210"/>
      <c r="V118" s="176"/>
      <c r="W118" s="210"/>
      <c r="X118" s="176"/>
      <c r="Y118" s="201"/>
    </row>
    <row r="119" spans="1:25" x14ac:dyDescent="0.25">
      <c r="A119" s="219"/>
      <c r="B119" s="200" t="s">
        <v>72</v>
      </c>
      <c r="C119" s="200">
        <f>+C116</f>
        <v>2033</v>
      </c>
      <c r="D119" s="200">
        <v>80</v>
      </c>
      <c r="E119" s="200">
        <f t="shared" si="18"/>
        <v>0.54183309538407687</v>
      </c>
      <c r="F119" s="200">
        <f t="shared" si="19"/>
        <v>0.55879554731372416</v>
      </c>
      <c r="G119" s="210"/>
      <c r="H119" s="200"/>
      <c r="I119" s="210"/>
      <c r="J119" s="200"/>
      <c r="K119" s="155"/>
      <c r="L119" s="155"/>
      <c r="M119" s="176">
        <f>IF(SUM(M$40:M118)=K$38,0,IF(SUM(L$40:L119)&lt;$V$13,L119,K$38-SUM(L$40:L118)))</f>
        <v>0</v>
      </c>
      <c r="N119" s="176">
        <f t="shared" si="25"/>
        <v>0</v>
      </c>
      <c r="O119" s="176">
        <f t="shared" si="20"/>
        <v>0</v>
      </c>
      <c r="P119" s="176">
        <f t="shared" si="21"/>
        <v>0</v>
      </c>
      <c r="Q119" s="176">
        <f t="shared" si="22"/>
        <v>0</v>
      </c>
      <c r="R119" s="176">
        <f t="shared" si="23"/>
        <v>0</v>
      </c>
      <c r="S119" s="176">
        <f t="shared" si="24"/>
        <v>0</v>
      </c>
      <c r="T119" s="176">
        <f>IF(SUM(L$40:L118)&lt;V$13,IF(SUM(L$40:L119)&lt;V$13,0,(SUM(L$40:L119)-V$13)),L119)</f>
        <v>0</v>
      </c>
      <c r="U119" s="210"/>
      <c r="V119" s="176"/>
      <c r="W119" s="210"/>
      <c r="X119" s="176"/>
      <c r="Y119" s="201"/>
    </row>
    <row r="120" spans="1:25" x14ac:dyDescent="0.25">
      <c r="A120" s="219">
        <v>2034</v>
      </c>
      <c r="B120" s="200" t="s">
        <v>69</v>
      </c>
      <c r="C120" s="200">
        <f>+A120</f>
        <v>2034</v>
      </c>
      <c r="D120" s="200">
        <v>81</v>
      </c>
      <c r="E120" s="200">
        <f t="shared" si="18"/>
        <v>0.53293311240688213</v>
      </c>
      <c r="F120" s="200">
        <f t="shared" si="19"/>
        <v>0.5238053499378742</v>
      </c>
      <c r="G120" s="210"/>
      <c r="H120" s="176">
        <f>+G120*F120</f>
        <v>0</v>
      </c>
      <c r="I120" s="210"/>
      <c r="J120" s="176">
        <f>+I120*F120</f>
        <v>0</v>
      </c>
      <c r="K120" s="155"/>
      <c r="L120" s="155"/>
      <c r="M120" s="176">
        <f>IF(SUM(M$40:M119)=K$38,0,IF(SUM(L$40:L120)&lt;$V$13,L120,K$38-SUM(L$40:L119)))</f>
        <v>0</v>
      </c>
      <c r="N120" s="176">
        <f t="shared" si="25"/>
        <v>0</v>
      </c>
      <c r="O120" s="176">
        <f t="shared" si="20"/>
        <v>0</v>
      </c>
      <c r="P120" s="176">
        <f t="shared" si="21"/>
        <v>0</v>
      </c>
      <c r="Q120" s="176">
        <f t="shared" si="22"/>
        <v>0</v>
      </c>
      <c r="R120" s="176">
        <f t="shared" si="23"/>
        <v>0</v>
      </c>
      <c r="S120" s="176">
        <f t="shared" si="24"/>
        <v>0</v>
      </c>
      <c r="T120" s="176">
        <f>IF(SUM(L$40:L119)&lt;V$13,IF(SUM(L$40:L120)&lt;V$13,0,(SUM(L$40:L120)-V$13)),L120)</f>
        <v>0</v>
      </c>
      <c r="U120" s="210">
        <f>SUM(T120:T123)</f>
        <v>0</v>
      </c>
      <c r="V120" s="176">
        <f>+U120*F120</f>
        <v>0</v>
      </c>
      <c r="W120" s="210"/>
      <c r="X120" s="176">
        <f>+W120*F120</f>
        <v>0</v>
      </c>
      <c r="Y120" s="201"/>
    </row>
    <row r="121" spans="1:25" x14ac:dyDescent="0.25">
      <c r="A121" s="219"/>
      <c r="B121" s="200" t="s">
        <v>70</v>
      </c>
      <c r="C121" s="200">
        <f>+C120</f>
        <v>2034</v>
      </c>
      <c r="D121" s="200">
        <v>82</v>
      </c>
      <c r="E121" s="200">
        <f t="shared" si="18"/>
        <v>0.52417931779962834</v>
      </c>
      <c r="F121" s="200">
        <f t="shared" si="19"/>
        <v>0.5238053499378742</v>
      </c>
      <c r="G121" s="210"/>
      <c r="H121" s="200"/>
      <c r="I121" s="210"/>
      <c r="J121" s="200"/>
      <c r="K121" s="155"/>
      <c r="L121" s="155"/>
      <c r="M121" s="176">
        <f>IF(SUM(M$40:M120)=K$38,0,IF(SUM(L$40:L121)&lt;$V$13,L121,K$38-SUM(L$40:L120)))</f>
        <v>0</v>
      </c>
      <c r="N121" s="176">
        <f t="shared" si="25"/>
        <v>0</v>
      </c>
      <c r="O121" s="176">
        <f t="shared" si="20"/>
        <v>0</v>
      </c>
      <c r="P121" s="176">
        <f t="shared" si="21"/>
        <v>0</v>
      </c>
      <c r="Q121" s="176">
        <f t="shared" si="22"/>
        <v>0</v>
      </c>
      <c r="R121" s="176">
        <f t="shared" si="23"/>
        <v>0</v>
      </c>
      <c r="S121" s="176">
        <f t="shared" si="24"/>
        <v>0</v>
      </c>
      <c r="T121" s="176">
        <f>IF(SUM(L$40:L120)&lt;V$13,IF(SUM(L$40:L121)&lt;V$13,0,(SUM(L$40:L121)-V$13)),L121)</f>
        <v>0</v>
      </c>
      <c r="U121" s="210"/>
      <c r="V121" s="176"/>
      <c r="W121" s="210"/>
      <c r="X121" s="176"/>
      <c r="Y121" s="201"/>
    </row>
    <row r="122" spans="1:25" x14ac:dyDescent="0.25">
      <c r="A122" s="219"/>
      <c r="B122" s="200" t="s">
        <v>71</v>
      </c>
      <c r="C122" s="200">
        <f>+C120</f>
        <v>2034</v>
      </c>
      <c r="D122" s="200">
        <v>83</v>
      </c>
      <c r="E122" s="200">
        <f t="shared" si="18"/>
        <v>0.515569310317329</v>
      </c>
      <c r="F122" s="200">
        <f t="shared" si="19"/>
        <v>0.5238053499378742</v>
      </c>
      <c r="G122" s="210"/>
      <c r="H122" s="200"/>
      <c r="I122" s="210"/>
      <c r="J122" s="200"/>
      <c r="K122" s="155"/>
      <c r="L122" s="155"/>
      <c r="M122" s="176">
        <f>IF(SUM(M$40:M121)=K$38,0,IF(SUM(L$40:L122)&lt;$V$13,L122,K$38-SUM(L$40:L121)))</f>
        <v>0</v>
      </c>
      <c r="N122" s="176">
        <f t="shared" si="25"/>
        <v>0</v>
      </c>
      <c r="O122" s="176">
        <f t="shared" si="20"/>
        <v>0</v>
      </c>
      <c r="P122" s="176">
        <f t="shared" si="21"/>
        <v>0</v>
      </c>
      <c r="Q122" s="176">
        <f t="shared" si="22"/>
        <v>0</v>
      </c>
      <c r="R122" s="176">
        <f t="shared" si="23"/>
        <v>0</v>
      </c>
      <c r="S122" s="176">
        <f t="shared" si="24"/>
        <v>0</v>
      </c>
      <c r="T122" s="176">
        <f>IF(SUM(L$40:L121)&lt;V$13,IF(SUM(L$40:L122)&lt;V$13,0,(SUM(L$40:L122)-V$13)),L122)</f>
        <v>0</v>
      </c>
      <c r="U122" s="210"/>
      <c r="V122" s="176"/>
      <c r="W122" s="210"/>
      <c r="X122" s="176"/>
      <c r="Y122" s="201"/>
    </row>
    <row r="123" spans="1:25" x14ac:dyDescent="0.25">
      <c r="A123" s="219"/>
      <c r="B123" s="200" t="s">
        <v>72</v>
      </c>
      <c r="C123" s="200">
        <f>+C120</f>
        <v>2034</v>
      </c>
      <c r="D123" s="200">
        <v>84</v>
      </c>
      <c r="E123" s="200">
        <f t="shared" si="18"/>
        <v>0.50710072815710538</v>
      </c>
      <c r="F123" s="200">
        <f t="shared" si="19"/>
        <v>0.5238053499378742</v>
      </c>
      <c r="G123" s="210"/>
      <c r="H123" s="200"/>
      <c r="I123" s="210"/>
      <c r="J123" s="200"/>
      <c r="K123" s="155"/>
      <c r="L123" s="155"/>
      <c r="M123" s="176">
        <f>IF(SUM(M$40:M122)=K$38,0,IF(SUM(L$40:L123)&lt;$V$13,L123,K$38-SUM(L$40:L122)))</f>
        <v>0</v>
      </c>
      <c r="N123" s="176">
        <f t="shared" si="25"/>
        <v>0</v>
      </c>
      <c r="O123" s="176">
        <f t="shared" si="20"/>
        <v>0</v>
      </c>
      <c r="P123" s="176">
        <f t="shared" si="21"/>
        <v>0</v>
      </c>
      <c r="Q123" s="176">
        <f t="shared" si="22"/>
        <v>0</v>
      </c>
      <c r="R123" s="176">
        <f t="shared" si="23"/>
        <v>0</v>
      </c>
      <c r="S123" s="176">
        <f t="shared" si="24"/>
        <v>0</v>
      </c>
      <c r="T123" s="176">
        <f>IF(SUM(L$40:L122)&lt;V$13,IF(SUM(L$40:L123)&lt;V$13,0,(SUM(L$40:L123)-V$13)),L123)</f>
        <v>0</v>
      </c>
      <c r="U123" s="210"/>
      <c r="V123" s="176"/>
      <c r="W123" s="210"/>
      <c r="X123" s="176"/>
      <c r="Y123" s="201"/>
    </row>
    <row r="124" spans="1:25" x14ac:dyDescent="0.25">
      <c r="A124" s="219">
        <v>2035</v>
      </c>
      <c r="B124" s="200" t="s">
        <v>69</v>
      </c>
      <c r="C124" s="200">
        <f>+A124</f>
        <v>2035</v>
      </c>
      <c r="D124" s="200">
        <v>85</v>
      </c>
      <c r="E124" s="200">
        <f t="shared" si="18"/>
        <v>0.49877124831032305</v>
      </c>
      <c r="F124" s="200">
        <f t="shared" si="19"/>
        <v>0.49100613979928215</v>
      </c>
      <c r="G124" s="210"/>
      <c r="H124" s="176">
        <f>+G124*F124</f>
        <v>0</v>
      </c>
      <c r="I124" s="210"/>
      <c r="J124" s="176">
        <f>+I124*F124</f>
        <v>0</v>
      </c>
      <c r="K124" s="155"/>
      <c r="L124" s="155"/>
      <c r="M124" s="176">
        <f>IF(SUM(M$40:M123)=K$38,0,IF(SUM(L$40:L124)&lt;$V$13,L124,K$38-SUM(L$40:L123)))</f>
        <v>0</v>
      </c>
      <c r="N124" s="176">
        <f t="shared" si="25"/>
        <v>0</v>
      </c>
      <c r="O124" s="176">
        <f t="shared" si="20"/>
        <v>0</v>
      </c>
      <c r="P124" s="176">
        <f t="shared" si="21"/>
        <v>0</v>
      </c>
      <c r="Q124" s="176">
        <f t="shared" si="22"/>
        <v>0</v>
      </c>
      <c r="R124" s="176">
        <f t="shared" si="23"/>
        <v>0</v>
      </c>
      <c r="S124" s="176">
        <f t="shared" si="24"/>
        <v>0</v>
      </c>
      <c r="T124" s="176">
        <f>IF(SUM(L$40:L123)&lt;V$13,IF(SUM(L$40:L124)&lt;V$13,0,(SUM(L$40:L124)-V$13)),L124)</f>
        <v>0</v>
      </c>
      <c r="U124" s="210">
        <f>SUM(T124:T127)</f>
        <v>0</v>
      </c>
      <c r="V124" s="176">
        <f>+U124*F124</f>
        <v>0</v>
      </c>
      <c r="W124" s="210"/>
      <c r="X124" s="176">
        <f>+W124*F124</f>
        <v>0</v>
      </c>
      <c r="Y124" s="201"/>
    </row>
    <row r="125" spans="1:25" x14ac:dyDescent="0.25">
      <c r="A125" s="219"/>
      <c r="B125" s="200" t="s">
        <v>70</v>
      </c>
      <c r="C125" s="200">
        <f>+C124</f>
        <v>2035</v>
      </c>
      <c r="D125" s="200">
        <v>86</v>
      </c>
      <c r="E125" s="200">
        <f t="shared" si="18"/>
        <v>0.4905785859253694</v>
      </c>
      <c r="F125" s="200">
        <f t="shared" si="19"/>
        <v>0.49100613979928215</v>
      </c>
      <c r="G125" s="210"/>
      <c r="H125" s="200"/>
      <c r="I125" s="210"/>
      <c r="J125" s="200"/>
      <c r="K125" s="155"/>
      <c r="L125" s="155"/>
      <c r="M125" s="176">
        <f>IF(SUM(M$40:M124)=K$38,0,IF(SUM(L$40:L125)&lt;$V$13,L125,K$38-SUM(L$40:L124)))</f>
        <v>0</v>
      </c>
      <c r="N125" s="176">
        <f t="shared" si="25"/>
        <v>0</v>
      </c>
      <c r="O125" s="176">
        <f t="shared" si="20"/>
        <v>0</v>
      </c>
      <c r="P125" s="176">
        <f t="shared" si="21"/>
        <v>0</v>
      </c>
      <c r="Q125" s="176">
        <f t="shared" si="22"/>
        <v>0</v>
      </c>
      <c r="R125" s="176">
        <f t="shared" si="23"/>
        <v>0</v>
      </c>
      <c r="S125" s="176">
        <f t="shared" si="24"/>
        <v>0</v>
      </c>
      <c r="T125" s="176">
        <f>IF(SUM(L$40:L124)&lt;V$13,IF(SUM(L$40:L125)&lt;V$13,0,(SUM(L$40:L125)-V$13)),L125)</f>
        <v>0</v>
      </c>
      <c r="U125" s="210"/>
      <c r="V125" s="176"/>
      <c r="W125" s="210"/>
      <c r="X125" s="176"/>
      <c r="Y125" s="201"/>
    </row>
    <row r="126" spans="1:25" x14ac:dyDescent="0.25">
      <c r="A126" s="219"/>
      <c r="B126" s="200" t="s">
        <v>71</v>
      </c>
      <c r="C126" s="200">
        <f>+C124</f>
        <v>2035</v>
      </c>
      <c r="D126" s="200">
        <v>87</v>
      </c>
      <c r="E126" s="200">
        <f t="shared" si="18"/>
        <v>0.48252049368089844</v>
      </c>
      <c r="F126" s="200">
        <f t="shared" si="19"/>
        <v>0.49100613979928215</v>
      </c>
      <c r="G126" s="210"/>
      <c r="H126" s="200"/>
      <c r="I126" s="210"/>
      <c r="J126" s="200"/>
      <c r="K126" s="155"/>
      <c r="L126" s="155"/>
      <c r="M126" s="176">
        <f>IF(SUM(M$40:M125)=K$38,0,IF(SUM(L$40:L126)&lt;$V$13,L126,K$38-SUM(L$40:L125)))</f>
        <v>0</v>
      </c>
      <c r="N126" s="176">
        <f t="shared" si="25"/>
        <v>0</v>
      </c>
      <c r="O126" s="176">
        <f t="shared" si="20"/>
        <v>0</v>
      </c>
      <c r="P126" s="176">
        <f t="shared" si="21"/>
        <v>0</v>
      </c>
      <c r="Q126" s="176">
        <f t="shared" si="22"/>
        <v>0</v>
      </c>
      <c r="R126" s="176">
        <f t="shared" si="23"/>
        <v>0</v>
      </c>
      <c r="S126" s="176">
        <f t="shared" si="24"/>
        <v>0</v>
      </c>
      <c r="T126" s="176">
        <f>IF(SUM(L$40:L125)&lt;V$13,IF(SUM(L$40:L126)&lt;V$13,0,(SUM(L$40:L126)-V$13)),L126)</f>
        <v>0</v>
      </c>
      <c r="U126" s="210"/>
      <c r="V126" s="176"/>
      <c r="W126" s="210"/>
      <c r="X126" s="176"/>
      <c r="Y126" s="201"/>
    </row>
    <row r="127" spans="1:25" x14ac:dyDescent="0.25">
      <c r="A127" s="219"/>
      <c r="B127" s="200" t="s">
        <v>72</v>
      </c>
      <c r="C127" s="200">
        <f>+C124</f>
        <v>2035</v>
      </c>
      <c r="D127" s="200">
        <v>88</v>
      </c>
      <c r="E127" s="200">
        <f t="shared" si="18"/>
        <v>0.47459476116936994</v>
      </c>
      <c r="F127" s="200">
        <f t="shared" si="19"/>
        <v>0.49100613979928215</v>
      </c>
      <c r="G127" s="210"/>
      <c r="H127" s="200"/>
      <c r="I127" s="210"/>
      <c r="J127" s="200"/>
      <c r="K127" s="155"/>
      <c r="L127" s="155"/>
      <c r="M127" s="176">
        <f>IF(SUM(M$40:M126)=K$38,0,IF(SUM(L$40:L127)&lt;$V$13,L127,K$38-SUM(L$40:L126)))</f>
        <v>0</v>
      </c>
      <c r="N127" s="176">
        <f t="shared" si="25"/>
        <v>0</v>
      </c>
      <c r="O127" s="176">
        <f t="shared" si="20"/>
        <v>0</v>
      </c>
      <c r="P127" s="176">
        <f t="shared" si="21"/>
        <v>0</v>
      </c>
      <c r="Q127" s="176">
        <f t="shared" si="22"/>
        <v>0</v>
      </c>
      <c r="R127" s="176">
        <f t="shared" si="23"/>
        <v>0</v>
      </c>
      <c r="S127" s="176">
        <f t="shared" si="24"/>
        <v>0</v>
      </c>
      <c r="T127" s="176">
        <f>IF(SUM(L$40:L126)&lt;V$13,IF(SUM(L$40:L127)&lt;V$13,0,(SUM(L$40:L127)-V$13)),L127)</f>
        <v>0</v>
      </c>
      <c r="U127" s="210"/>
      <c r="V127" s="176"/>
      <c r="W127" s="210"/>
      <c r="X127" s="176"/>
      <c r="Y127" s="201"/>
    </row>
    <row r="128" spans="1:25" x14ac:dyDescent="0.25">
      <c r="A128" s="219">
        <v>2036</v>
      </c>
      <c r="B128" s="200" t="s">
        <v>69</v>
      </c>
      <c r="C128" s="200">
        <f>+A128</f>
        <v>2036</v>
      </c>
      <c r="D128" s="200">
        <v>89</v>
      </c>
      <c r="E128" s="200">
        <f t="shared" si="18"/>
        <v>0.46679921429071514</v>
      </c>
      <c r="F128" s="200">
        <f t="shared" si="19"/>
        <v>0.46026072347139307</v>
      </c>
      <c r="G128" s="210"/>
      <c r="H128" s="176">
        <f>+G128*F128</f>
        <v>0</v>
      </c>
      <c r="I128" s="210"/>
      <c r="J128" s="176">
        <f>+I128*F128</f>
        <v>0</v>
      </c>
      <c r="K128" s="155"/>
      <c r="L128" s="155"/>
      <c r="M128" s="176">
        <f>IF(SUM(M$40:M127)=K$38,0,IF(SUM(L$40:L128)&lt;$V$13,L128,K$38-SUM(L$40:L127)))</f>
        <v>0</v>
      </c>
      <c r="N128" s="176">
        <f t="shared" si="25"/>
        <v>0</v>
      </c>
      <c r="O128" s="176">
        <f t="shared" si="20"/>
        <v>0</v>
      </c>
      <c r="P128" s="176">
        <f t="shared" si="21"/>
        <v>0</v>
      </c>
      <c r="Q128" s="176">
        <f t="shared" si="22"/>
        <v>0</v>
      </c>
      <c r="R128" s="176">
        <f t="shared" si="23"/>
        <v>0</v>
      </c>
      <c r="S128" s="176">
        <f t="shared" si="24"/>
        <v>0</v>
      </c>
      <c r="T128" s="176">
        <f>IF(SUM(L$40:L127)&lt;V$13,IF(SUM(L$40:L128)&lt;V$13,0,(SUM(L$40:L128)-V$13)),L128)</f>
        <v>0</v>
      </c>
      <c r="U128" s="210">
        <f>SUM(T128:T131)</f>
        <v>0</v>
      </c>
      <c r="V128" s="176">
        <f>+U128*F128</f>
        <v>0</v>
      </c>
      <c r="W128" s="210"/>
      <c r="X128" s="176">
        <f>+W128*F128</f>
        <v>0</v>
      </c>
      <c r="Y128" s="201"/>
    </row>
    <row r="129" spans="1:25" x14ac:dyDescent="0.25">
      <c r="A129" s="219"/>
      <c r="B129" s="200" t="s">
        <v>70</v>
      </c>
      <c r="C129" s="200">
        <f>+C128</f>
        <v>2036</v>
      </c>
      <c r="D129" s="200">
        <v>90</v>
      </c>
      <c r="E129" s="200">
        <f t="shared" si="18"/>
        <v>0.45913171465596064</v>
      </c>
      <c r="F129" s="200">
        <f t="shared" si="19"/>
        <v>0.46026072347139307</v>
      </c>
      <c r="G129" s="210"/>
      <c r="H129" s="200"/>
      <c r="I129" s="210"/>
      <c r="J129" s="200"/>
      <c r="K129" s="155"/>
      <c r="L129" s="155"/>
      <c r="M129" s="176">
        <f>IF(SUM(M$40:M128)=K$38,0,IF(SUM(L$40:L129)&lt;$V$13,L129,K$38-SUM(L$40:L128)))</f>
        <v>0</v>
      </c>
      <c r="N129" s="176">
        <f t="shared" si="25"/>
        <v>0</v>
      </c>
      <c r="O129" s="176">
        <f t="shared" si="20"/>
        <v>0</v>
      </c>
      <c r="P129" s="176">
        <f t="shared" si="21"/>
        <v>0</v>
      </c>
      <c r="Q129" s="176">
        <f t="shared" si="22"/>
        <v>0</v>
      </c>
      <c r="R129" s="176">
        <f t="shared" si="23"/>
        <v>0</v>
      </c>
      <c r="S129" s="176">
        <f t="shared" si="24"/>
        <v>0</v>
      </c>
      <c r="T129" s="176">
        <f>IF(SUM(L$40:L128)&lt;V$13,IF(SUM(L$40:L129)&lt;V$13,0,(SUM(L$40:L129)-V$13)),L129)</f>
        <v>0</v>
      </c>
      <c r="U129" s="210"/>
      <c r="V129" s="176"/>
      <c r="W129" s="210"/>
      <c r="X129" s="176"/>
      <c r="Y129" s="201"/>
    </row>
    <row r="130" spans="1:25" x14ac:dyDescent="0.25">
      <c r="A130" s="219"/>
      <c r="B130" s="200" t="s">
        <v>71</v>
      </c>
      <c r="C130" s="200">
        <f>+C128</f>
        <v>2036</v>
      </c>
      <c r="D130" s="200">
        <v>91</v>
      </c>
      <c r="E130" s="200">
        <f t="shared" si="18"/>
        <v>0.4515901590006498</v>
      </c>
      <c r="F130" s="200">
        <f t="shared" si="19"/>
        <v>0.46026072347139307</v>
      </c>
      <c r="G130" s="210"/>
      <c r="H130" s="200"/>
      <c r="I130" s="210"/>
      <c r="J130" s="200"/>
      <c r="K130" s="155"/>
      <c r="L130" s="155"/>
      <c r="M130" s="176">
        <f>IF(SUM(M$40:M129)=K$38,0,IF(SUM(L$40:L130)&lt;$V$13,L130,K$38-SUM(L$40:L129)))</f>
        <v>0</v>
      </c>
      <c r="N130" s="176">
        <f t="shared" si="25"/>
        <v>0</v>
      </c>
      <c r="O130" s="176">
        <f t="shared" si="20"/>
        <v>0</v>
      </c>
      <c r="P130" s="176">
        <f t="shared" si="21"/>
        <v>0</v>
      </c>
      <c r="Q130" s="176">
        <f t="shared" si="22"/>
        <v>0</v>
      </c>
      <c r="R130" s="176">
        <f t="shared" si="23"/>
        <v>0</v>
      </c>
      <c r="S130" s="176">
        <f t="shared" si="24"/>
        <v>0</v>
      </c>
      <c r="T130" s="176">
        <f>IF(SUM(L$40:L129)&lt;V$13,IF(SUM(L$40:L130)&lt;V$13,0,(SUM(L$40:L130)-V$13)),L130)</f>
        <v>0</v>
      </c>
      <c r="U130" s="210"/>
      <c r="V130" s="176"/>
      <c r="W130" s="210"/>
      <c r="X130" s="176"/>
      <c r="Y130" s="201"/>
    </row>
    <row r="131" spans="1:25" x14ac:dyDescent="0.25">
      <c r="A131" s="219"/>
      <c r="B131" s="200" t="s">
        <v>72</v>
      </c>
      <c r="C131" s="200">
        <f>+C128</f>
        <v>2036</v>
      </c>
      <c r="D131" s="200">
        <v>92</v>
      </c>
      <c r="E131" s="200">
        <f t="shared" si="18"/>
        <v>0.44417247860789799</v>
      </c>
      <c r="F131" s="200">
        <f t="shared" si="19"/>
        <v>0.46026072347139307</v>
      </c>
      <c r="G131" s="210"/>
      <c r="H131" s="200"/>
      <c r="I131" s="210"/>
      <c r="J131" s="200"/>
      <c r="K131" s="155"/>
      <c r="L131" s="155"/>
      <c r="M131" s="176">
        <f>IF(SUM(M$40:M130)=K$38,0,IF(SUM(L$40:L131)&lt;$V$13,L131,K$38-SUM(L$40:L130)))</f>
        <v>0</v>
      </c>
      <c r="N131" s="176">
        <f t="shared" si="25"/>
        <v>0</v>
      </c>
      <c r="O131" s="176">
        <f t="shared" si="20"/>
        <v>0</v>
      </c>
      <c r="P131" s="176">
        <f t="shared" si="21"/>
        <v>0</v>
      </c>
      <c r="Q131" s="176">
        <f t="shared" si="22"/>
        <v>0</v>
      </c>
      <c r="R131" s="176">
        <f t="shared" si="23"/>
        <v>0</v>
      </c>
      <c r="S131" s="176">
        <f t="shared" si="24"/>
        <v>0</v>
      </c>
      <c r="T131" s="176">
        <f>IF(SUM(L$40:L130)&lt;V$13,IF(SUM(L$40:L131)&lt;V$13,0,(SUM(L$40:L131)-V$13)),L131)</f>
        <v>0</v>
      </c>
      <c r="U131" s="210"/>
      <c r="V131" s="176"/>
      <c r="W131" s="210"/>
      <c r="X131" s="176"/>
      <c r="Y131" s="201"/>
    </row>
    <row r="132" spans="1:25" x14ac:dyDescent="0.25">
      <c r="A132" s="219">
        <v>2037</v>
      </c>
      <c r="B132" s="200" t="s">
        <v>69</v>
      </c>
      <c r="C132" s="200">
        <f>+A132</f>
        <v>2037</v>
      </c>
      <c r="D132" s="200">
        <v>93</v>
      </c>
      <c r="E132" s="200">
        <f t="shared" si="18"/>
        <v>0.43687663874092458</v>
      </c>
      <c r="F132" s="200">
        <f t="shared" si="19"/>
        <v>0.43144049819215702</v>
      </c>
      <c r="G132" s="210"/>
      <c r="H132" s="176">
        <f>+G132*F132</f>
        <v>0</v>
      </c>
      <c r="I132" s="210"/>
      <c r="J132" s="176">
        <f>+I132*F132</f>
        <v>0</v>
      </c>
      <c r="K132" s="155"/>
      <c r="L132" s="155"/>
      <c r="M132" s="176">
        <f>IF(SUM(M$40:M131)=K$38,0,IF(SUM(L$40:L132)&lt;$V$13,L132,K$38-SUM(L$40:L131)))</f>
        <v>0</v>
      </c>
      <c r="N132" s="176">
        <f t="shared" si="25"/>
        <v>0</v>
      </c>
      <c r="O132" s="176">
        <f t="shared" si="20"/>
        <v>0</v>
      </c>
      <c r="P132" s="176">
        <f t="shared" si="21"/>
        <v>0</v>
      </c>
      <c r="Q132" s="176">
        <f t="shared" si="22"/>
        <v>0</v>
      </c>
      <c r="R132" s="176">
        <f t="shared" si="23"/>
        <v>0</v>
      </c>
      <c r="S132" s="176">
        <f t="shared" si="24"/>
        <v>0</v>
      </c>
      <c r="T132" s="176">
        <f>IF(SUM(L$40:L131)&lt;V$13,IF(SUM(L$40:L132)&lt;V$13,0,(SUM(L$40:L132)-V$13)),L132)</f>
        <v>0</v>
      </c>
      <c r="U132" s="210">
        <f>SUM(T132:T135)</f>
        <v>0</v>
      </c>
      <c r="V132" s="176">
        <f>+U132*F132</f>
        <v>0</v>
      </c>
      <c r="W132" s="210"/>
      <c r="X132" s="176">
        <f>+W132*F132</f>
        <v>0</v>
      </c>
      <c r="Y132" s="201"/>
    </row>
    <row r="133" spans="1:25" x14ac:dyDescent="0.25">
      <c r="A133" s="219"/>
      <c r="B133" s="200" t="s">
        <v>70</v>
      </c>
      <c r="C133" s="200">
        <f>+C132</f>
        <v>2037</v>
      </c>
      <c r="D133" s="200">
        <v>94</v>
      </c>
      <c r="E133" s="200">
        <f t="shared" si="18"/>
        <v>0.42970063808490666</v>
      </c>
      <c r="F133" s="200">
        <f t="shared" si="19"/>
        <v>0.43144049819215702</v>
      </c>
      <c r="G133" s="210"/>
      <c r="H133" s="200"/>
      <c r="I133" s="210"/>
      <c r="J133" s="200"/>
      <c r="K133" s="155"/>
      <c r="L133" s="155"/>
      <c r="M133" s="176">
        <f>IF(SUM(M$40:M132)=K$38,0,IF(SUM(L$40:L133)&lt;$V$13,L133,K$38-SUM(L$40:L132)))</f>
        <v>0</v>
      </c>
      <c r="N133" s="176">
        <f t="shared" si="25"/>
        <v>0</v>
      </c>
      <c r="O133" s="176">
        <f t="shared" si="20"/>
        <v>0</v>
      </c>
      <c r="P133" s="176">
        <f t="shared" si="21"/>
        <v>0</v>
      </c>
      <c r="Q133" s="176">
        <f t="shared" si="22"/>
        <v>0</v>
      </c>
      <c r="R133" s="176">
        <f t="shared" si="23"/>
        <v>0</v>
      </c>
      <c r="S133" s="176">
        <f t="shared" si="24"/>
        <v>0</v>
      </c>
      <c r="T133" s="176">
        <f>IF(SUM(L$40:L132)&lt;V$13,IF(SUM(L$40:L133)&lt;V$13,0,(SUM(L$40:L133)-V$13)),L133)</f>
        <v>0</v>
      </c>
      <c r="U133" s="210"/>
      <c r="V133" s="176"/>
      <c r="W133" s="210"/>
      <c r="X133" s="176"/>
      <c r="Y133" s="201"/>
    </row>
    <row r="134" spans="1:25" x14ac:dyDescent="0.25">
      <c r="A134" s="219"/>
      <c r="B134" s="200" t="s">
        <v>71</v>
      </c>
      <c r="C134" s="200">
        <f>+C132</f>
        <v>2037</v>
      </c>
      <c r="D134" s="200">
        <v>95</v>
      </c>
      <c r="E134" s="200">
        <f t="shared" si="18"/>
        <v>0.42264250819800009</v>
      </c>
      <c r="F134" s="200">
        <f t="shared" si="19"/>
        <v>0.43144049819215702</v>
      </c>
      <c r="G134" s="210"/>
      <c r="H134" s="200"/>
      <c r="I134" s="210"/>
      <c r="J134" s="200"/>
      <c r="K134" s="155"/>
      <c r="L134" s="155"/>
      <c r="M134" s="176">
        <f>IF(SUM(M$40:M133)=K$38,0,IF(SUM(L$40:L134)&lt;$V$13,L134,K$38-SUM(L$40:L133)))</f>
        <v>0</v>
      </c>
      <c r="N134" s="176">
        <f t="shared" si="25"/>
        <v>0</v>
      </c>
      <c r="O134" s="176">
        <f t="shared" si="20"/>
        <v>0</v>
      </c>
      <c r="P134" s="176">
        <f t="shared" si="21"/>
        <v>0</v>
      </c>
      <c r="Q134" s="176">
        <f t="shared" si="22"/>
        <v>0</v>
      </c>
      <c r="R134" s="176">
        <f t="shared" si="23"/>
        <v>0</v>
      </c>
      <c r="S134" s="176">
        <f t="shared" si="24"/>
        <v>0</v>
      </c>
      <c r="T134" s="176">
        <f>IF(SUM(L$40:L133)&lt;V$13,IF(SUM(L$40:L134)&lt;V$13,0,(SUM(L$40:L134)-V$13)),L134)</f>
        <v>0</v>
      </c>
      <c r="U134" s="210"/>
      <c r="V134" s="176"/>
      <c r="W134" s="210"/>
      <c r="X134" s="176"/>
      <c r="Y134" s="201"/>
    </row>
    <row r="135" spans="1:25" x14ac:dyDescent="0.25">
      <c r="A135" s="219"/>
      <c r="B135" s="200" t="s">
        <v>72</v>
      </c>
      <c r="C135" s="200">
        <f>+C132</f>
        <v>2037</v>
      </c>
      <c r="D135" s="200">
        <v>96</v>
      </c>
      <c r="E135" s="200">
        <f t="shared" si="18"/>
        <v>0.41570031297137811</v>
      </c>
      <c r="F135" s="200">
        <f t="shared" si="19"/>
        <v>0.43144049819215702</v>
      </c>
      <c r="G135" s="210"/>
      <c r="H135" s="200"/>
      <c r="I135" s="210"/>
      <c r="J135" s="200"/>
      <c r="K135" s="155"/>
      <c r="L135" s="155"/>
      <c r="M135" s="176">
        <f>IF(SUM(M$40:M134)=K$38,0,IF(SUM(L$40:L135)&lt;$V$13,L135,K$38-SUM(L$40:L134)))</f>
        <v>0</v>
      </c>
      <c r="N135" s="176">
        <f t="shared" si="25"/>
        <v>0</v>
      </c>
      <c r="O135" s="176">
        <f t="shared" si="20"/>
        <v>0</v>
      </c>
      <c r="P135" s="176">
        <f t="shared" si="21"/>
        <v>0</v>
      </c>
      <c r="Q135" s="176">
        <f t="shared" si="22"/>
        <v>0</v>
      </c>
      <c r="R135" s="176">
        <f t="shared" si="23"/>
        <v>0</v>
      </c>
      <c r="S135" s="176">
        <f t="shared" si="24"/>
        <v>0</v>
      </c>
      <c r="T135" s="176">
        <f>IF(SUM(L$40:L134)&lt;V$13,IF(SUM(L$40:L135)&lt;V$13,0,(SUM(L$40:L135)-V$13)),L135)</f>
        <v>0</v>
      </c>
      <c r="U135" s="210"/>
      <c r="V135" s="176"/>
      <c r="W135" s="210"/>
      <c r="X135" s="176"/>
      <c r="Y135" s="201"/>
    </row>
    <row r="136" spans="1:25" x14ac:dyDescent="0.25">
      <c r="A136" s="219">
        <v>2038</v>
      </c>
      <c r="B136" s="200" t="s">
        <v>69</v>
      </c>
      <c r="C136" s="200">
        <f>+A136</f>
        <v>2038</v>
      </c>
      <c r="D136" s="200">
        <v>97</v>
      </c>
      <c r="E136" s="200">
        <f t="shared" ref="E136:E167" si="26">IF(D136&lt;$B$14,1,(1/(1+$K$17/4)^(D136-$B$14+1)))</f>
        <v>0.40887214809813927</v>
      </c>
      <c r="F136" s="200">
        <f t="shared" ref="F136:F167" si="27">IF(C136&lt;($B$12+1),1,(1/(1+$K$17)^(C136-$B$12)))</f>
        <v>0.40442491394090463</v>
      </c>
      <c r="G136" s="210"/>
      <c r="H136" s="176">
        <f>+G136*F136</f>
        <v>0</v>
      </c>
      <c r="I136" s="210"/>
      <c r="J136" s="176">
        <f>+I136*F136</f>
        <v>0</v>
      </c>
      <c r="K136" s="155"/>
      <c r="L136" s="155"/>
      <c r="M136" s="176">
        <f>IF(SUM(M$40:M135)=K$38,0,IF(SUM(L$40:L136)&lt;$V$13,L136,K$38-SUM(L$40:L135)))</f>
        <v>0</v>
      </c>
      <c r="N136" s="176">
        <f t="shared" si="25"/>
        <v>0</v>
      </c>
      <c r="O136" s="176">
        <f t="shared" ref="O136:O167" si="28">+N136*($K$21/4)</f>
        <v>0</v>
      </c>
      <c r="P136" s="176">
        <f t="shared" ref="P136:P167" si="29">+N136*($K$20/4)</f>
        <v>0</v>
      </c>
      <c r="Q136" s="176">
        <f t="shared" ref="Q136:Q167" si="30">+P136-O136</f>
        <v>0</v>
      </c>
      <c r="R136" s="176">
        <f t="shared" ref="R136:R167" si="31">+Q136*E136</f>
        <v>0</v>
      </c>
      <c r="S136" s="176">
        <f t="shared" ref="S136:S167" si="32">+L136-T136</f>
        <v>0</v>
      </c>
      <c r="T136" s="176">
        <f>IF(SUM(L$40:L135)&lt;V$13,IF(SUM(L$40:L136)&lt;V$13,0,(SUM(L$40:L136)-V$13)),L136)</f>
        <v>0</v>
      </c>
      <c r="U136" s="210">
        <f>SUM(T136:T139)</f>
        <v>0</v>
      </c>
      <c r="V136" s="176">
        <f>+U136*F136</f>
        <v>0</v>
      </c>
      <c r="W136" s="210"/>
      <c r="X136" s="176">
        <f>+W136*F136</f>
        <v>0</v>
      </c>
      <c r="Y136" s="201"/>
    </row>
    <row r="137" spans="1:25" x14ac:dyDescent="0.25">
      <c r="A137" s="219"/>
      <c r="B137" s="200" t="s">
        <v>70</v>
      </c>
      <c r="C137" s="200">
        <f>+C136</f>
        <v>2038</v>
      </c>
      <c r="D137" s="200">
        <v>98</v>
      </c>
      <c r="E137" s="200">
        <f t="shared" si="26"/>
        <v>0.40215614055093868</v>
      </c>
      <c r="F137" s="200">
        <f t="shared" si="27"/>
        <v>0.40442491394090463</v>
      </c>
      <c r="G137" s="210"/>
      <c r="H137" s="200"/>
      <c r="I137" s="210"/>
      <c r="J137" s="200"/>
      <c r="K137" s="155"/>
      <c r="L137" s="155"/>
      <c r="M137" s="176">
        <f>IF(SUM(M$40:M136)=K$38,0,IF(SUM(L$40:L137)&lt;$V$13,L137,K$38-SUM(L$40:L136)))</f>
        <v>0</v>
      </c>
      <c r="N137" s="176">
        <f t="shared" ref="N137:N168" si="33">+N136+K137-M136</f>
        <v>0</v>
      </c>
      <c r="O137" s="176">
        <f t="shared" si="28"/>
        <v>0</v>
      </c>
      <c r="P137" s="176">
        <f t="shared" si="29"/>
        <v>0</v>
      </c>
      <c r="Q137" s="176">
        <f t="shared" si="30"/>
        <v>0</v>
      </c>
      <c r="R137" s="176">
        <f t="shared" si="31"/>
        <v>0</v>
      </c>
      <c r="S137" s="176">
        <f t="shared" si="32"/>
        <v>0</v>
      </c>
      <c r="T137" s="176">
        <f>IF(SUM(L$40:L136)&lt;V$13,IF(SUM(L$40:L137)&lt;V$13,0,(SUM(L$40:L137)-V$13)),L137)</f>
        <v>0</v>
      </c>
      <c r="U137" s="210"/>
      <c r="V137" s="176"/>
      <c r="W137" s="210"/>
      <c r="X137" s="176"/>
      <c r="Y137" s="201"/>
    </row>
    <row r="138" spans="1:25" x14ac:dyDescent="0.25">
      <c r="A138" s="219"/>
      <c r="B138" s="200" t="s">
        <v>71</v>
      </c>
      <c r="C138" s="200">
        <f>+C136</f>
        <v>2038</v>
      </c>
      <c r="D138" s="200">
        <v>99</v>
      </c>
      <c r="E138" s="200">
        <f t="shared" si="26"/>
        <v>0.39555044806819972</v>
      </c>
      <c r="F138" s="200">
        <f t="shared" si="27"/>
        <v>0.40442491394090463</v>
      </c>
      <c r="G138" s="210"/>
      <c r="H138" s="200"/>
      <c r="I138" s="210"/>
      <c r="J138" s="200"/>
      <c r="K138" s="155"/>
      <c r="L138" s="155"/>
      <c r="M138" s="176">
        <f>IF(SUM(M$40:M137)=K$38,0,IF(SUM(L$40:L138)&lt;$V$13,L138,K$38-SUM(L$40:L137)))</f>
        <v>0</v>
      </c>
      <c r="N138" s="176">
        <f t="shared" si="33"/>
        <v>0</v>
      </c>
      <c r="O138" s="176">
        <f t="shared" si="28"/>
        <v>0</v>
      </c>
      <c r="P138" s="176">
        <f t="shared" si="29"/>
        <v>0</v>
      </c>
      <c r="Q138" s="176">
        <f t="shared" si="30"/>
        <v>0</v>
      </c>
      <c r="R138" s="176">
        <f t="shared" si="31"/>
        <v>0</v>
      </c>
      <c r="S138" s="176">
        <f t="shared" si="32"/>
        <v>0</v>
      </c>
      <c r="T138" s="176">
        <f>IF(SUM(L$40:L137)&lt;V$13,IF(SUM(L$40:L138)&lt;V$13,0,(SUM(L$40:L138)-V$13)),L138)</f>
        <v>0</v>
      </c>
      <c r="U138" s="210"/>
      <c r="V138" s="176"/>
      <c r="W138" s="210"/>
      <c r="X138" s="176"/>
      <c r="Y138" s="201"/>
    </row>
    <row r="139" spans="1:25" x14ac:dyDescent="0.25">
      <c r="A139" s="219"/>
      <c r="B139" s="200" t="s">
        <v>72</v>
      </c>
      <c r="C139" s="200">
        <f>+C136</f>
        <v>2038</v>
      </c>
      <c r="D139" s="200">
        <v>100</v>
      </c>
      <c r="E139" s="200">
        <f t="shared" si="26"/>
        <v>0.38905325864876533</v>
      </c>
      <c r="F139" s="200">
        <f t="shared" si="27"/>
        <v>0.40442491394090463</v>
      </c>
      <c r="G139" s="210"/>
      <c r="H139" s="200"/>
      <c r="I139" s="210"/>
      <c r="J139" s="200"/>
      <c r="K139" s="155"/>
      <c r="L139" s="155"/>
      <c r="M139" s="176">
        <f>IF(SUM(M$40:M138)=K$38,0,IF(SUM(L$40:L139)&lt;$V$13,L139,K$38-SUM(L$40:L138)))</f>
        <v>0</v>
      </c>
      <c r="N139" s="176">
        <f t="shared" si="33"/>
        <v>0</v>
      </c>
      <c r="O139" s="176">
        <f t="shared" si="28"/>
        <v>0</v>
      </c>
      <c r="P139" s="176">
        <f t="shared" si="29"/>
        <v>0</v>
      </c>
      <c r="Q139" s="176">
        <f t="shared" si="30"/>
        <v>0</v>
      </c>
      <c r="R139" s="176">
        <f t="shared" si="31"/>
        <v>0</v>
      </c>
      <c r="S139" s="176">
        <f t="shared" si="32"/>
        <v>0</v>
      </c>
      <c r="T139" s="176">
        <f>IF(SUM(L$40:L138)&lt;V$13,IF(SUM(L$40:L139)&lt;V$13,0,(SUM(L$40:L139)-V$13)),L139)</f>
        <v>0</v>
      </c>
      <c r="U139" s="210"/>
      <c r="V139" s="176"/>
      <c r="W139" s="210"/>
      <c r="X139" s="176"/>
      <c r="Y139" s="201"/>
    </row>
    <row r="140" spans="1:25" x14ac:dyDescent="0.25">
      <c r="A140" s="219">
        <v>2039</v>
      </c>
      <c r="B140" s="200" t="s">
        <v>69</v>
      </c>
      <c r="C140" s="200">
        <f>+A140</f>
        <v>2039</v>
      </c>
      <c r="D140" s="200">
        <v>101</v>
      </c>
      <c r="E140" s="200">
        <f t="shared" si="26"/>
        <v>0.38266279005484943</v>
      </c>
      <c r="F140" s="200">
        <f t="shared" si="27"/>
        <v>0.37910096919844832</v>
      </c>
      <c r="G140" s="210"/>
      <c r="H140" s="176">
        <f>+G140*F140</f>
        <v>0</v>
      </c>
      <c r="I140" s="210"/>
      <c r="J140" s="176">
        <f>+I140*F140</f>
        <v>0</v>
      </c>
      <c r="K140" s="155"/>
      <c r="L140" s="155"/>
      <c r="M140" s="176">
        <f>IF(SUM(M$40:M139)=K$38,0,IF(SUM(L$40:L140)&lt;$V$13,L140,K$38-SUM(L$40:L139)))</f>
        <v>0</v>
      </c>
      <c r="N140" s="176">
        <f t="shared" si="33"/>
        <v>0</v>
      </c>
      <c r="O140" s="176">
        <f t="shared" si="28"/>
        <v>0</v>
      </c>
      <c r="P140" s="176">
        <f t="shared" si="29"/>
        <v>0</v>
      </c>
      <c r="Q140" s="176">
        <f t="shared" si="30"/>
        <v>0</v>
      </c>
      <c r="R140" s="176">
        <f t="shared" si="31"/>
        <v>0</v>
      </c>
      <c r="S140" s="176">
        <f t="shared" si="32"/>
        <v>0</v>
      </c>
      <c r="T140" s="176">
        <f>IF(SUM(L$40:L139)&lt;V$13,IF(SUM(L$40:L140)&lt;V$13,0,(SUM(L$40:L140)-V$13)),L140)</f>
        <v>0</v>
      </c>
      <c r="U140" s="210">
        <f>SUM(T140:T143)</f>
        <v>0</v>
      </c>
      <c r="V140" s="176">
        <f>+U140*F140</f>
        <v>0</v>
      </c>
      <c r="W140" s="210"/>
      <c r="X140" s="176">
        <f>+W140*F140</f>
        <v>0</v>
      </c>
      <c r="Y140" s="201"/>
    </row>
    <row r="141" spans="1:25" x14ac:dyDescent="0.25">
      <c r="A141" s="219"/>
      <c r="B141" s="200" t="s">
        <v>70</v>
      </c>
      <c r="C141" s="200">
        <f>+C140</f>
        <v>2039</v>
      </c>
      <c r="D141" s="200">
        <v>102</v>
      </c>
      <c r="E141" s="200">
        <f t="shared" si="26"/>
        <v>0.37637728932315284</v>
      </c>
      <c r="F141" s="200">
        <f t="shared" si="27"/>
        <v>0.37910096919844832</v>
      </c>
      <c r="G141" s="210"/>
      <c r="H141" s="200"/>
      <c r="I141" s="210"/>
      <c r="J141" s="200"/>
      <c r="K141" s="155"/>
      <c r="L141" s="155"/>
      <c r="M141" s="176">
        <f>IF(SUM(M$40:M140)=K$38,0,IF(SUM(L$40:L141)&lt;$V$13,L141,K$38-SUM(L$40:L140)))</f>
        <v>0</v>
      </c>
      <c r="N141" s="176">
        <f t="shared" si="33"/>
        <v>0</v>
      </c>
      <c r="O141" s="176">
        <f t="shared" si="28"/>
        <v>0</v>
      </c>
      <c r="P141" s="176">
        <f t="shared" si="29"/>
        <v>0</v>
      </c>
      <c r="Q141" s="176">
        <f t="shared" si="30"/>
        <v>0</v>
      </c>
      <c r="R141" s="176">
        <f t="shared" si="31"/>
        <v>0</v>
      </c>
      <c r="S141" s="176">
        <f t="shared" si="32"/>
        <v>0</v>
      </c>
      <c r="T141" s="176">
        <f>IF(SUM(L$40:L140)&lt;V$13,IF(SUM(L$40:L141)&lt;V$13,0,(SUM(L$40:L141)-V$13)),L141)</f>
        <v>0</v>
      </c>
      <c r="U141" s="210"/>
      <c r="V141" s="176"/>
      <c r="W141" s="210"/>
      <c r="X141" s="176"/>
      <c r="Y141" s="201"/>
    </row>
    <row r="142" spans="1:25" x14ac:dyDescent="0.25">
      <c r="A142" s="219"/>
      <c r="B142" s="200" t="s">
        <v>71</v>
      </c>
      <c r="C142" s="200">
        <f>+C140</f>
        <v>2039</v>
      </c>
      <c r="D142" s="200">
        <v>103</v>
      </c>
      <c r="E142" s="200">
        <f t="shared" si="26"/>
        <v>0.37019503228400991</v>
      </c>
      <c r="F142" s="200">
        <f t="shared" si="27"/>
        <v>0.37910096919844832</v>
      </c>
      <c r="G142" s="210"/>
      <c r="H142" s="200"/>
      <c r="I142" s="210"/>
      <c r="J142" s="200"/>
      <c r="K142" s="155"/>
      <c r="L142" s="155"/>
      <c r="M142" s="176">
        <f>IF(SUM(M$40:M141)=K$38,0,IF(SUM(L$40:L142)&lt;$V$13,L142,K$38-SUM(L$40:L141)))</f>
        <v>0</v>
      </c>
      <c r="N142" s="176">
        <f t="shared" si="33"/>
        <v>0</v>
      </c>
      <c r="O142" s="176">
        <f t="shared" si="28"/>
        <v>0</v>
      </c>
      <c r="P142" s="176">
        <f t="shared" si="29"/>
        <v>0</v>
      </c>
      <c r="Q142" s="176">
        <f t="shared" si="30"/>
        <v>0</v>
      </c>
      <c r="R142" s="176">
        <f t="shared" si="31"/>
        <v>0</v>
      </c>
      <c r="S142" s="176">
        <f t="shared" si="32"/>
        <v>0</v>
      </c>
      <c r="T142" s="176">
        <f>IF(SUM(L$40:L141)&lt;V$13,IF(SUM(L$40:L142)&lt;V$13,0,(SUM(L$40:L142)-V$13)),L142)</f>
        <v>0</v>
      </c>
      <c r="U142" s="210"/>
      <c r="V142" s="176"/>
      <c r="W142" s="210"/>
      <c r="X142" s="176"/>
      <c r="Y142" s="201"/>
    </row>
    <row r="143" spans="1:25" x14ac:dyDescent="0.25">
      <c r="A143" s="219"/>
      <c r="B143" s="200" t="s">
        <v>72</v>
      </c>
      <c r="C143" s="200">
        <f>+C140</f>
        <v>2039</v>
      </c>
      <c r="D143" s="200">
        <v>104</v>
      </c>
      <c r="E143" s="200">
        <f t="shared" si="26"/>
        <v>0.364114323088433</v>
      </c>
      <c r="F143" s="200">
        <f t="shared" si="27"/>
        <v>0.37910096919844832</v>
      </c>
      <c r="G143" s="210"/>
      <c r="H143" s="200"/>
      <c r="I143" s="210"/>
      <c r="J143" s="200"/>
      <c r="K143" s="155"/>
      <c r="L143" s="155"/>
      <c r="M143" s="176">
        <f>IF(SUM(M$40:M142)=K$38,0,IF(SUM(L$40:L143)&lt;$V$13,L143,K$38-SUM(L$40:L142)))</f>
        <v>0</v>
      </c>
      <c r="N143" s="176">
        <f t="shared" si="33"/>
        <v>0</v>
      </c>
      <c r="O143" s="176">
        <f t="shared" si="28"/>
        <v>0</v>
      </c>
      <c r="P143" s="176">
        <f t="shared" si="29"/>
        <v>0</v>
      </c>
      <c r="Q143" s="176">
        <f t="shared" si="30"/>
        <v>0</v>
      </c>
      <c r="R143" s="176">
        <f t="shared" si="31"/>
        <v>0</v>
      </c>
      <c r="S143" s="176">
        <f t="shared" si="32"/>
        <v>0</v>
      </c>
      <c r="T143" s="176">
        <f>IF(SUM(L$40:L142)&lt;V$13,IF(SUM(L$40:L143)&lt;V$13,0,(SUM(L$40:L143)-V$13)),L143)</f>
        <v>0</v>
      </c>
      <c r="U143" s="210"/>
      <c r="V143" s="176"/>
      <c r="W143" s="210"/>
      <c r="X143" s="176"/>
      <c r="Y143" s="201"/>
    </row>
    <row r="144" spans="1:25" x14ac:dyDescent="0.25">
      <c r="A144" s="219">
        <v>2040</v>
      </c>
      <c r="B144" s="200" t="s">
        <v>69</v>
      </c>
      <c r="C144" s="200">
        <f>+A144</f>
        <v>2040</v>
      </c>
      <c r="D144" s="200">
        <v>105</v>
      </c>
      <c r="E144" s="200">
        <f t="shared" si="26"/>
        <v>0.3581334937429263</v>
      </c>
      <c r="F144" s="200">
        <f t="shared" si="27"/>
        <v>0.35536273828126003</v>
      </c>
      <c r="G144" s="210"/>
      <c r="H144" s="176">
        <f>+G144*F144</f>
        <v>0</v>
      </c>
      <c r="I144" s="210"/>
      <c r="J144" s="176">
        <f>+I144*F144</f>
        <v>0</v>
      </c>
      <c r="K144" s="155"/>
      <c r="L144" s="155"/>
      <c r="M144" s="176">
        <f>IF(SUM(M$40:M143)=K$38,0,IF(SUM(L$40:L144)&lt;$V$13,L144,K$38-SUM(L$40:L143)))</f>
        <v>0</v>
      </c>
      <c r="N144" s="176">
        <f t="shared" si="33"/>
        <v>0</v>
      </c>
      <c r="O144" s="176">
        <f t="shared" si="28"/>
        <v>0</v>
      </c>
      <c r="P144" s="176">
        <f t="shared" si="29"/>
        <v>0</v>
      </c>
      <c r="Q144" s="176">
        <f t="shared" si="30"/>
        <v>0</v>
      </c>
      <c r="R144" s="176">
        <f t="shared" si="31"/>
        <v>0</v>
      </c>
      <c r="S144" s="176">
        <f t="shared" si="32"/>
        <v>0</v>
      </c>
      <c r="T144" s="176">
        <f>IF(SUM(L$40:L143)&lt;V$13,IF(SUM(L$40:L144)&lt;V$13,0,(SUM(L$40:L144)-V$13)),L144)</f>
        <v>0</v>
      </c>
      <c r="U144" s="210">
        <f>SUM(T144:T147)</f>
        <v>0</v>
      </c>
      <c r="V144" s="176">
        <f>+U144*F144</f>
        <v>0</v>
      </c>
      <c r="W144" s="210"/>
      <c r="X144" s="176">
        <f>+W144*F144</f>
        <v>0</v>
      </c>
      <c r="Y144" s="201"/>
    </row>
    <row r="145" spans="1:25" x14ac:dyDescent="0.25">
      <c r="A145" s="219"/>
      <c r="B145" s="200" t="s">
        <v>70</v>
      </c>
      <c r="C145" s="200">
        <f>+C144</f>
        <v>2040</v>
      </c>
      <c r="D145" s="200">
        <v>106</v>
      </c>
      <c r="E145" s="200">
        <f t="shared" si="26"/>
        <v>0.35225090365193884</v>
      </c>
      <c r="F145" s="200">
        <f t="shared" si="27"/>
        <v>0.35536273828126003</v>
      </c>
      <c r="G145" s="210"/>
      <c r="H145" s="200"/>
      <c r="I145" s="210"/>
      <c r="J145" s="200"/>
      <c r="K145" s="155"/>
      <c r="L145" s="155"/>
      <c r="M145" s="176">
        <f>IF(SUM(M$40:M144)=K$38,0,IF(SUM(L$40:L145)&lt;$V$13,L145,K$38-SUM(L$40:L144)))</f>
        <v>0</v>
      </c>
      <c r="N145" s="176">
        <f t="shared" si="33"/>
        <v>0</v>
      </c>
      <c r="O145" s="176">
        <f t="shared" si="28"/>
        <v>0</v>
      </c>
      <c r="P145" s="176">
        <f t="shared" si="29"/>
        <v>0</v>
      </c>
      <c r="Q145" s="176">
        <f t="shared" si="30"/>
        <v>0</v>
      </c>
      <c r="R145" s="176">
        <f t="shared" si="31"/>
        <v>0</v>
      </c>
      <c r="S145" s="176">
        <f t="shared" si="32"/>
        <v>0</v>
      </c>
      <c r="T145" s="176">
        <f>IF(SUM(L$40:L144)&lt;V$13,IF(SUM(L$40:L145)&lt;V$13,0,(SUM(L$40:L145)-V$13)),L145)</f>
        <v>0</v>
      </c>
      <c r="U145" s="210"/>
      <c r="V145" s="176"/>
      <c r="W145" s="210"/>
      <c r="X145" s="176"/>
      <c r="Y145" s="201"/>
    </row>
    <row r="146" spans="1:25" x14ac:dyDescent="0.25">
      <c r="A146" s="219"/>
      <c r="B146" s="200" t="s">
        <v>71</v>
      </c>
      <c r="C146" s="200">
        <f>+C144</f>
        <v>2040</v>
      </c>
      <c r="D146" s="200">
        <v>107</v>
      </c>
      <c r="E146" s="200">
        <f t="shared" si="26"/>
        <v>0.34646493916783616</v>
      </c>
      <c r="F146" s="200">
        <f t="shared" si="27"/>
        <v>0.35536273828126003</v>
      </c>
      <c r="G146" s="210"/>
      <c r="H146" s="200"/>
      <c r="I146" s="210"/>
      <c r="J146" s="200"/>
      <c r="K146" s="155"/>
      <c r="L146" s="155"/>
      <c r="M146" s="176">
        <f>IF(SUM(M$40:M145)=K$38,0,IF(SUM(L$40:L146)&lt;$V$13,L146,K$38-SUM(L$40:L145)))</f>
        <v>0</v>
      </c>
      <c r="N146" s="176">
        <f t="shared" si="33"/>
        <v>0</v>
      </c>
      <c r="O146" s="176">
        <f t="shared" si="28"/>
        <v>0</v>
      </c>
      <c r="P146" s="176">
        <f t="shared" si="29"/>
        <v>0</v>
      </c>
      <c r="Q146" s="176">
        <f t="shared" si="30"/>
        <v>0</v>
      </c>
      <c r="R146" s="176">
        <f t="shared" si="31"/>
        <v>0</v>
      </c>
      <c r="S146" s="176">
        <f t="shared" si="32"/>
        <v>0</v>
      </c>
      <c r="T146" s="176">
        <f>IF(SUM(L$40:L145)&lt;V$13,IF(SUM(L$40:L146)&lt;V$13,0,(SUM(L$40:L146)-V$13)),L146)</f>
        <v>0</v>
      </c>
      <c r="U146" s="210"/>
      <c r="V146" s="176"/>
      <c r="W146" s="210"/>
      <c r="X146" s="176"/>
      <c r="Y146" s="201"/>
    </row>
    <row r="147" spans="1:25" x14ac:dyDescent="0.25">
      <c r="A147" s="219"/>
      <c r="B147" s="200" t="s">
        <v>72</v>
      </c>
      <c r="C147" s="200">
        <f>+C144</f>
        <v>2040</v>
      </c>
      <c r="D147" s="200">
        <v>108</v>
      </c>
      <c r="E147" s="200">
        <f t="shared" si="26"/>
        <v>0.34077401314826022</v>
      </c>
      <c r="F147" s="200">
        <f t="shared" si="27"/>
        <v>0.35536273828126003</v>
      </c>
      <c r="G147" s="210"/>
      <c r="H147" s="200"/>
      <c r="I147" s="210"/>
      <c r="J147" s="200"/>
      <c r="K147" s="155"/>
      <c r="L147" s="155"/>
      <c r="M147" s="176">
        <f>IF(SUM(M$40:M146)=K$38,0,IF(SUM(L$40:L147)&lt;$V$13,L147,K$38-SUM(L$40:L146)))</f>
        <v>0</v>
      </c>
      <c r="N147" s="176">
        <f t="shared" si="33"/>
        <v>0</v>
      </c>
      <c r="O147" s="176">
        <f t="shared" si="28"/>
        <v>0</v>
      </c>
      <c r="P147" s="176">
        <f t="shared" si="29"/>
        <v>0</v>
      </c>
      <c r="Q147" s="176">
        <f t="shared" si="30"/>
        <v>0</v>
      </c>
      <c r="R147" s="176">
        <f t="shared" si="31"/>
        <v>0</v>
      </c>
      <c r="S147" s="176">
        <f t="shared" si="32"/>
        <v>0</v>
      </c>
      <c r="T147" s="176">
        <f>IF(SUM(L$40:L146)&lt;V$13,IF(SUM(L$40:L147)&lt;V$13,0,(SUM(L$40:L147)-V$13)),L147)</f>
        <v>0</v>
      </c>
      <c r="U147" s="210"/>
      <c r="V147" s="176"/>
      <c r="W147" s="210"/>
      <c r="X147" s="176"/>
      <c r="Y147" s="201"/>
    </row>
    <row r="148" spans="1:25" x14ac:dyDescent="0.25">
      <c r="A148" s="219">
        <v>2041</v>
      </c>
      <c r="B148" s="200" t="s">
        <v>69</v>
      </c>
      <c r="C148" s="200">
        <f>+A148</f>
        <v>2041</v>
      </c>
      <c r="D148" s="200">
        <v>109</v>
      </c>
      <c r="E148" s="200">
        <f t="shared" si="26"/>
        <v>0.3351765645207635</v>
      </c>
      <c r="F148" s="200">
        <f t="shared" si="27"/>
        <v>0.33311092827264727</v>
      </c>
      <c r="G148" s="210"/>
      <c r="H148" s="176">
        <f>+G148*F148</f>
        <v>0</v>
      </c>
      <c r="I148" s="210"/>
      <c r="J148" s="176">
        <f>+I148*F148</f>
        <v>0</v>
      </c>
      <c r="K148" s="155"/>
      <c r="L148" s="155"/>
      <c r="M148" s="176">
        <f>IF(SUM(M$40:M147)=K$38,0,IF(SUM(L$40:L148)&lt;$V$13,L148,K$38-SUM(L$40:L147)))</f>
        <v>0</v>
      </c>
      <c r="N148" s="176">
        <f t="shared" si="33"/>
        <v>0</v>
      </c>
      <c r="O148" s="176">
        <f t="shared" si="28"/>
        <v>0</v>
      </c>
      <c r="P148" s="176">
        <f t="shared" si="29"/>
        <v>0</v>
      </c>
      <c r="Q148" s="176">
        <f t="shared" si="30"/>
        <v>0</v>
      </c>
      <c r="R148" s="176">
        <f t="shared" si="31"/>
        <v>0</v>
      </c>
      <c r="S148" s="176">
        <f t="shared" si="32"/>
        <v>0</v>
      </c>
      <c r="T148" s="176">
        <f>IF(SUM(L$40:L147)&lt;V$13,IF(SUM(L$40:L148)&lt;V$13,0,(SUM(L$40:L148)-V$13)),L148)</f>
        <v>0</v>
      </c>
      <c r="U148" s="210">
        <f>SUM(T148:T151)</f>
        <v>0</v>
      </c>
      <c r="V148" s="176">
        <f>+U148*F148</f>
        <v>0</v>
      </c>
      <c r="W148" s="210"/>
      <c r="X148" s="176">
        <f>+W148*F148</f>
        <v>0</v>
      </c>
      <c r="Y148" s="201"/>
    </row>
    <row r="149" spans="1:25" x14ac:dyDescent="0.25">
      <c r="A149" s="219"/>
      <c r="B149" s="200" t="s">
        <v>70</v>
      </c>
      <c r="C149" s="200">
        <f>+C148</f>
        <v>2041</v>
      </c>
      <c r="D149" s="200">
        <v>110</v>
      </c>
      <c r="E149" s="200">
        <f t="shared" si="26"/>
        <v>0.32967105785459189</v>
      </c>
      <c r="F149" s="200">
        <f t="shared" si="27"/>
        <v>0.33311092827264727</v>
      </c>
      <c r="G149" s="210"/>
      <c r="H149" s="200"/>
      <c r="I149" s="210"/>
      <c r="J149" s="200"/>
      <c r="K149" s="155"/>
      <c r="L149" s="155"/>
      <c r="M149" s="176">
        <f>IF(SUM(M$40:M148)=K$38,0,IF(SUM(L$40:L149)&lt;$V$13,L149,K$38-SUM(L$40:L148)))</f>
        <v>0</v>
      </c>
      <c r="N149" s="176">
        <f t="shared" si="33"/>
        <v>0</v>
      </c>
      <c r="O149" s="176">
        <f t="shared" si="28"/>
        <v>0</v>
      </c>
      <c r="P149" s="176">
        <f t="shared" si="29"/>
        <v>0</v>
      </c>
      <c r="Q149" s="176">
        <f t="shared" si="30"/>
        <v>0</v>
      </c>
      <c r="R149" s="176">
        <f t="shared" si="31"/>
        <v>0</v>
      </c>
      <c r="S149" s="176">
        <f t="shared" si="32"/>
        <v>0</v>
      </c>
      <c r="T149" s="176">
        <f>IF(SUM(L$40:L148)&lt;V$13,IF(SUM(L$40:L149)&lt;V$13,0,(SUM(L$40:L149)-V$13)),L149)</f>
        <v>0</v>
      </c>
      <c r="U149" s="210"/>
      <c r="V149" s="176"/>
      <c r="W149" s="210"/>
      <c r="X149" s="176"/>
      <c r="Y149" s="201"/>
    </row>
    <row r="150" spans="1:25" x14ac:dyDescent="0.25">
      <c r="A150" s="219"/>
      <c r="B150" s="200" t="s">
        <v>71</v>
      </c>
      <c r="C150" s="200">
        <f>+C148</f>
        <v>2041</v>
      </c>
      <c r="D150" s="200">
        <v>111</v>
      </c>
      <c r="E150" s="200">
        <f t="shared" si="26"/>
        <v>0.3242559829395022</v>
      </c>
      <c r="F150" s="200">
        <f t="shared" si="27"/>
        <v>0.33311092827264727</v>
      </c>
      <c r="G150" s="210"/>
      <c r="H150" s="200"/>
      <c r="I150" s="210"/>
      <c r="J150" s="200"/>
      <c r="K150" s="155"/>
      <c r="L150" s="155"/>
      <c r="M150" s="176">
        <f>IF(SUM(M$40:M149)=K$38,0,IF(SUM(L$40:L150)&lt;$V$13,L150,K$38-SUM(L$40:L149)))</f>
        <v>0</v>
      </c>
      <c r="N150" s="176">
        <f t="shared" si="33"/>
        <v>0</v>
      </c>
      <c r="O150" s="176">
        <f t="shared" si="28"/>
        <v>0</v>
      </c>
      <c r="P150" s="176">
        <f t="shared" si="29"/>
        <v>0</v>
      </c>
      <c r="Q150" s="176">
        <f t="shared" si="30"/>
        <v>0</v>
      </c>
      <c r="R150" s="176">
        <f t="shared" si="31"/>
        <v>0</v>
      </c>
      <c r="S150" s="176">
        <f t="shared" si="32"/>
        <v>0</v>
      </c>
      <c r="T150" s="176">
        <f>IF(SUM(L$40:L149)&lt;V$13,IF(SUM(L$40:L150)&lt;V$13,0,(SUM(L$40:L150)-V$13)),L150)</f>
        <v>0</v>
      </c>
      <c r="U150" s="210"/>
      <c r="V150" s="176"/>
      <c r="W150" s="210"/>
      <c r="X150" s="176"/>
      <c r="Y150" s="201"/>
    </row>
    <row r="151" spans="1:25" x14ac:dyDescent="0.25">
      <c r="A151" s="219"/>
      <c r="B151" s="200" t="s">
        <v>72</v>
      </c>
      <c r="C151" s="200">
        <f>+C148</f>
        <v>2041</v>
      </c>
      <c r="D151" s="200">
        <v>112</v>
      </c>
      <c r="E151" s="200">
        <f t="shared" si="26"/>
        <v>0.31892985437149818</v>
      </c>
      <c r="F151" s="200">
        <f t="shared" si="27"/>
        <v>0.33311092827264727</v>
      </c>
      <c r="G151" s="210"/>
      <c r="H151" s="200"/>
      <c r="I151" s="210"/>
      <c r="J151" s="200"/>
      <c r="K151" s="155"/>
      <c r="L151" s="155"/>
      <c r="M151" s="176">
        <f>IF(SUM(M$40:M150)=K$38,0,IF(SUM(L$40:L151)&lt;$V$13,L151,K$38-SUM(L$40:L150)))</f>
        <v>0</v>
      </c>
      <c r="N151" s="176">
        <f t="shared" si="33"/>
        <v>0</v>
      </c>
      <c r="O151" s="176">
        <f t="shared" si="28"/>
        <v>0</v>
      </c>
      <c r="P151" s="176">
        <f t="shared" si="29"/>
        <v>0</v>
      </c>
      <c r="Q151" s="176">
        <f t="shared" si="30"/>
        <v>0</v>
      </c>
      <c r="R151" s="176">
        <f t="shared" si="31"/>
        <v>0</v>
      </c>
      <c r="S151" s="176">
        <f t="shared" si="32"/>
        <v>0</v>
      </c>
      <c r="T151" s="176">
        <f>IF(SUM(L$40:L150)&lt;V$13,IF(SUM(L$40:L151)&lt;V$13,0,(SUM(L$40:L151)-V$13)),L151)</f>
        <v>0</v>
      </c>
      <c r="U151" s="210"/>
      <c r="V151" s="176"/>
      <c r="W151" s="210"/>
      <c r="X151" s="176"/>
      <c r="Y151" s="201"/>
    </row>
    <row r="152" spans="1:25" x14ac:dyDescent="0.25">
      <c r="A152" s="219">
        <v>2042</v>
      </c>
      <c r="B152" s="200" t="s">
        <v>69</v>
      </c>
      <c r="C152" s="200">
        <f>+A152</f>
        <v>2042</v>
      </c>
      <c r="D152" s="200">
        <v>113</v>
      </c>
      <c r="E152" s="200">
        <f t="shared" si="26"/>
        <v>0.31369121114537057</v>
      </c>
      <c r="F152" s="200">
        <f t="shared" si="27"/>
        <v>0.31225246369764453</v>
      </c>
      <c r="G152" s="210"/>
      <c r="H152" s="176">
        <f>+G152*F152</f>
        <v>0</v>
      </c>
      <c r="I152" s="210"/>
      <c r="J152" s="176">
        <f>+I152*F152</f>
        <v>0</v>
      </c>
      <c r="K152" s="155"/>
      <c r="L152" s="155"/>
      <c r="M152" s="176">
        <f>IF(SUM(M$40:M151)=K$38,0,IF(SUM(L$40:L152)&lt;$V$13,L152,K$38-SUM(L$40:L151)))</f>
        <v>0</v>
      </c>
      <c r="N152" s="176">
        <f t="shared" si="33"/>
        <v>0</v>
      </c>
      <c r="O152" s="176">
        <f t="shared" si="28"/>
        <v>0</v>
      </c>
      <c r="P152" s="176">
        <f t="shared" si="29"/>
        <v>0</v>
      </c>
      <c r="Q152" s="176">
        <f t="shared" si="30"/>
        <v>0</v>
      </c>
      <c r="R152" s="176">
        <f t="shared" si="31"/>
        <v>0</v>
      </c>
      <c r="S152" s="176">
        <f t="shared" si="32"/>
        <v>0</v>
      </c>
      <c r="T152" s="176">
        <f>IF(SUM(L$40:L151)&lt;V$13,IF(SUM(L$40:L152)&lt;V$13,0,(SUM(L$40:L152)-V$13)),L152)</f>
        <v>0</v>
      </c>
      <c r="U152" s="210">
        <f>SUM(T152:T155)</f>
        <v>0</v>
      </c>
      <c r="V152" s="176">
        <f>+U152*F152</f>
        <v>0</v>
      </c>
      <c r="W152" s="210"/>
      <c r="X152" s="176">
        <f>+W152*F152</f>
        <v>0</v>
      </c>
      <c r="Y152" s="201"/>
    </row>
    <row r="153" spans="1:25" x14ac:dyDescent="0.25">
      <c r="A153" s="219"/>
      <c r="B153" s="200" t="s">
        <v>70</v>
      </c>
      <c r="C153" s="200">
        <f>+C152</f>
        <v>2042</v>
      </c>
      <c r="D153" s="200">
        <v>114</v>
      </c>
      <c r="E153" s="200">
        <f t="shared" si="26"/>
        <v>0.30853861625392998</v>
      </c>
      <c r="F153" s="200">
        <f t="shared" si="27"/>
        <v>0.31225246369764453</v>
      </c>
      <c r="G153" s="210"/>
      <c r="H153" s="200"/>
      <c r="I153" s="210"/>
      <c r="J153" s="200"/>
      <c r="K153" s="155"/>
      <c r="L153" s="155"/>
      <c r="M153" s="176">
        <f>IF(SUM(M$40:M152)=K$38,0,IF(SUM(L$40:L153)&lt;$V$13,L153,K$38-SUM(L$40:L152)))</f>
        <v>0</v>
      </c>
      <c r="N153" s="176">
        <f t="shared" si="33"/>
        <v>0</v>
      </c>
      <c r="O153" s="176">
        <f t="shared" si="28"/>
        <v>0</v>
      </c>
      <c r="P153" s="176">
        <f t="shared" si="29"/>
        <v>0</v>
      </c>
      <c r="Q153" s="176">
        <f t="shared" si="30"/>
        <v>0</v>
      </c>
      <c r="R153" s="176">
        <f t="shared" si="31"/>
        <v>0</v>
      </c>
      <c r="S153" s="176">
        <f t="shared" si="32"/>
        <v>0</v>
      </c>
      <c r="T153" s="176">
        <f>IF(SUM(L$40:L152)&lt;V$13,IF(SUM(L$40:L153)&lt;V$13,0,(SUM(L$40:L153)-V$13)),L153)</f>
        <v>0</v>
      </c>
      <c r="U153" s="210"/>
      <c r="V153" s="176"/>
      <c r="W153" s="210"/>
      <c r="X153" s="176"/>
      <c r="Y153" s="201"/>
    </row>
    <row r="154" spans="1:25" x14ac:dyDescent="0.25">
      <c r="A154" s="219"/>
      <c r="B154" s="200" t="s">
        <v>71</v>
      </c>
      <c r="C154" s="200">
        <f>+C152</f>
        <v>2042</v>
      </c>
      <c r="D154" s="200">
        <v>115</v>
      </c>
      <c r="E154" s="200">
        <f t="shared" si="26"/>
        <v>0.30347065629382314</v>
      </c>
      <c r="F154" s="200">
        <f t="shared" si="27"/>
        <v>0.31225246369764453</v>
      </c>
      <c r="G154" s="210"/>
      <c r="H154" s="200"/>
      <c r="I154" s="210"/>
      <c r="J154" s="200"/>
      <c r="K154" s="155"/>
      <c r="L154" s="155"/>
      <c r="M154" s="176">
        <f>IF(SUM(M$40:M153)=K$38,0,IF(SUM(L$40:L154)&lt;$V$13,L154,K$38-SUM(L$40:L153)))</f>
        <v>0</v>
      </c>
      <c r="N154" s="176">
        <f t="shared" si="33"/>
        <v>0</v>
      </c>
      <c r="O154" s="176">
        <f t="shared" si="28"/>
        <v>0</v>
      </c>
      <c r="P154" s="176">
        <f t="shared" si="29"/>
        <v>0</v>
      </c>
      <c r="Q154" s="176">
        <f t="shared" si="30"/>
        <v>0</v>
      </c>
      <c r="R154" s="176">
        <f t="shared" si="31"/>
        <v>0</v>
      </c>
      <c r="S154" s="176">
        <f t="shared" si="32"/>
        <v>0</v>
      </c>
      <c r="T154" s="176">
        <f>IF(SUM(L$40:L153)&lt;V$13,IF(SUM(L$40:L154)&lt;V$13,0,(SUM(L$40:L154)-V$13)),L154)</f>
        <v>0</v>
      </c>
      <c r="U154" s="210"/>
      <c r="V154" s="176"/>
      <c r="W154" s="210"/>
      <c r="X154" s="176"/>
      <c r="Y154" s="201"/>
    </row>
    <row r="155" spans="1:25" x14ac:dyDescent="0.25">
      <c r="A155" s="219"/>
      <c r="B155" s="200" t="s">
        <v>72</v>
      </c>
      <c r="C155" s="200">
        <f>+C152</f>
        <v>2042</v>
      </c>
      <c r="D155" s="200">
        <v>116</v>
      </c>
      <c r="E155" s="200">
        <f t="shared" si="26"/>
        <v>0.29848594107782345</v>
      </c>
      <c r="F155" s="200">
        <f t="shared" si="27"/>
        <v>0.31225246369764453</v>
      </c>
      <c r="G155" s="210"/>
      <c r="H155" s="200"/>
      <c r="I155" s="210"/>
      <c r="J155" s="200"/>
      <c r="K155" s="155"/>
      <c r="L155" s="155"/>
      <c r="M155" s="176">
        <f>IF(SUM(M$40:M154)=K$38,0,IF(SUM(L$40:L155)&lt;$V$13,L155,K$38-SUM(L$40:L154)))</f>
        <v>0</v>
      </c>
      <c r="N155" s="176">
        <f t="shared" si="33"/>
        <v>0</v>
      </c>
      <c r="O155" s="176">
        <f t="shared" si="28"/>
        <v>0</v>
      </c>
      <c r="P155" s="176">
        <f t="shared" si="29"/>
        <v>0</v>
      </c>
      <c r="Q155" s="176">
        <f t="shared" si="30"/>
        <v>0</v>
      </c>
      <c r="R155" s="176">
        <f t="shared" si="31"/>
        <v>0</v>
      </c>
      <c r="S155" s="176">
        <f t="shared" si="32"/>
        <v>0</v>
      </c>
      <c r="T155" s="176">
        <f>IF(SUM(L$40:L154)&lt;V$13,IF(SUM(L$40:L155)&lt;V$13,0,(SUM(L$40:L155)-V$13)),L155)</f>
        <v>0</v>
      </c>
      <c r="U155" s="210"/>
      <c r="V155" s="176"/>
      <c r="W155" s="210"/>
      <c r="X155" s="176"/>
      <c r="Y155" s="201"/>
    </row>
    <row r="156" spans="1:25" x14ac:dyDescent="0.25">
      <c r="A156" s="219">
        <v>2043</v>
      </c>
      <c r="B156" s="200" t="s">
        <v>69</v>
      </c>
      <c r="C156" s="200">
        <f>+A156</f>
        <v>2043</v>
      </c>
      <c r="D156" s="200">
        <v>117</v>
      </c>
      <c r="E156" s="200">
        <f t="shared" si="26"/>
        <v>0.2935831032534903</v>
      </c>
      <c r="F156" s="200">
        <f t="shared" si="27"/>
        <v>0.29270009720439122</v>
      </c>
      <c r="G156" s="210"/>
      <c r="H156" s="176">
        <f>+G156*F156</f>
        <v>0</v>
      </c>
      <c r="I156" s="210"/>
      <c r="J156" s="176">
        <f>+I156*F156</f>
        <v>0</v>
      </c>
      <c r="K156" s="155"/>
      <c r="L156" s="155"/>
      <c r="M156" s="176">
        <f>IF(SUM(M$40:M155)=K$38,0,IF(SUM(L$40:L156)&lt;$V$13,L156,K$38-SUM(L$40:L155)))</f>
        <v>0</v>
      </c>
      <c r="N156" s="176">
        <f t="shared" si="33"/>
        <v>0</v>
      </c>
      <c r="O156" s="176">
        <f t="shared" si="28"/>
        <v>0</v>
      </c>
      <c r="P156" s="176">
        <f t="shared" si="29"/>
        <v>0</v>
      </c>
      <c r="Q156" s="176">
        <f t="shared" si="30"/>
        <v>0</v>
      </c>
      <c r="R156" s="176">
        <f t="shared" si="31"/>
        <v>0</v>
      </c>
      <c r="S156" s="176">
        <f t="shared" si="32"/>
        <v>0</v>
      </c>
      <c r="T156" s="176">
        <f>IF(SUM(L$40:L155)&lt;V$13,IF(SUM(L$40:L156)&lt;V$13,0,(SUM(L$40:L156)-V$13)),L156)</f>
        <v>0</v>
      </c>
      <c r="U156" s="210">
        <f>SUM(T156:T159)</f>
        <v>0</v>
      </c>
      <c r="V156" s="176">
        <f>+U156*F156</f>
        <v>0</v>
      </c>
      <c r="W156" s="210"/>
      <c r="X156" s="176">
        <f>+W156*F156</f>
        <v>0</v>
      </c>
      <c r="Y156" s="201"/>
    </row>
    <row r="157" spans="1:25" x14ac:dyDescent="0.25">
      <c r="A157" s="219"/>
      <c r="B157" s="200" t="s">
        <v>70</v>
      </c>
      <c r="C157" s="200">
        <f>+C156</f>
        <v>2043</v>
      </c>
      <c r="D157" s="200">
        <v>118</v>
      </c>
      <c r="E157" s="200">
        <f t="shared" si="26"/>
        <v>0.28876079792809117</v>
      </c>
      <c r="F157" s="200">
        <f t="shared" si="27"/>
        <v>0.29270009720439122</v>
      </c>
      <c r="G157" s="210"/>
      <c r="H157" s="200"/>
      <c r="I157" s="210"/>
      <c r="J157" s="200"/>
      <c r="K157" s="155"/>
      <c r="L157" s="155"/>
      <c r="M157" s="176">
        <f>IF(SUM(M$40:M156)=K$38,0,IF(SUM(L$40:L157)&lt;$V$13,L157,K$38-SUM(L$40:L156)))</f>
        <v>0</v>
      </c>
      <c r="N157" s="176">
        <f t="shared" si="33"/>
        <v>0</v>
      </c>
      <c r="O157" s="176">
        <f t="shared" si="28"/>
        <v>0</v>
      </c>
      <c r="P157" s="176">
        <f t="shared" si="29"/>
        <v>0</v>
      </c>
      <c r="Q157" s="176">
        <f t="shared" si="30"/>
        <v>0</v>
      </c>
      <c r="R157" s="176">
        <f t="shared" si="31"/>
        <v>0</v>
      </c>
      <c r="S157" s="176">
        <f t="shared" si="32"/>
        <v>0</v>
      </c>
      <c r="T157" s="176">
        <f>IF(SUM(L$40:L156)&lt;V$13,IF(SUM(L$40:L157)&lt;V$13,0,(SUM(L$40:L157)-V$13)),L157)</f>
        <v>0</v>
      </c>
      <c r="U157" s="210"/>
      <c r="V157" s="176"/>
      <c r="W157" s="210"/>
      <c r="X157" s="176"/>
      <c r="Y157" s="201"/>
    </row>
    <row r="158" spans="1:25" x14ac:dyDescent="0.25">
      <c r="A158" s="219"/>
      <c r="B158" s="200" t="s">
        <v>71</v>
      </c>
      <c r="C158" s="200">
        <f>+C156</f>
        <v>2043</v>
      </c>
      <c r="D158" s="200">
        <v>119</v>
      </c>
      <c r="E158" s="200">
        <f t="shared" si="26"/>
        <v>0.28401770229968643</v>
      </c>
      <c r="F158" s="200">
        <f t="shared" si="27"/>
        <v>0.29270009720439122</v>
      </c>
      <c r="G158" s="210"/>
      <c r="H158" s="200"/>
      <c r="I158" s="210"/>
      <c r="J158" s="200"/>
      <c r="K158" s="155"/>
      <c r="L158" s="155"/>
      <c r="M158" s="176">
        <f>IF(SUM(M$40:M157)=K$38,0,IF(SUM(L$40:L158)&lt;$V$13,L158,K$38-SUM(L$40:L157)))</f>
        <v>0</v>
      </c>
      <c r="N158" s="176">
        <f t="shared" si="33"/>
        <v>0</v>
      </c>
      <c r="O158" s="176">
        <f t="shared" si="28"/>
        <v>0</v>
      </c>
      <c r="P158" s="176">
        <f t="shared" si="29"/>
        <v>0</v>
      </c>
      <c r="Q158" s="176">
        <f t="shared" si="30"/>
        <v>0</v>
      </c>
      <c r="R158" s="176">
        <f t="shared" si="31"/>
        <v>0</v>
      </c>
      <c r="S158" s="176">
        <f t="shared" si="32"/>
        <v>0</v>
      </c>
      <c r="T158" s="176">
        <f>IF(SUM(L$40:L157)&lt;V$13,IF(SUM(L$40:L158)&lt;V$13,0,(SUM(L$40:L158)-V$13)),L158)</f>
        <v>0</v>
      </c>
      <c r="U158" s="210"/>
      <c r="V158" s="176"/>
      <c r="W158" s="210"/>
      <c r="X158" s="176"/>
      <c r="Y158" s="201"/>
    </row>
    <row r="159" spans="1:25" x14ac:dyDescent="0.25">
      <c r="A159" s="219"/>
      <c r="B159" s="200" t="s">
        <v>72</v>
      </c>
      <c r="C159" s="200">
        <f>+C156</f>
        <v>2043</v>
      </c>
      <c r="D159" s="200">
        <v>120</v>
      </c>
      <c r="E159" s="200">
        <f t="shared" si="26"/>
        <v>0.27935251529427202</v>
      </c>
      <c r="F159" s="200">
        <f t="shared" si="27"/>
        <v>0.29270009720439122</v>
      </c>
      <c r="G159" s="210"/>
      <c r="H159" s="200"/>
      <c r="I159" s="210"/>
      <c r="J159" s="200"/>
      <c r="K159" s="155"/>
      <c r="L159" s="155"/>
      <c r="M159" s="176">
        <f>IF(SUM(M$40:M158)=K$38,0,IF(SUM(L$40:L159)&lt;$V$13,L159,K$38-SUM(L$40:L158)))</f>
        <v>0</v>
      </c>
      <c r="N159" s="176">
        <f t="shared" si="33"/>
        <v>0</v>
      </c>
      <c r="O159" s="176">
        <f t="shared" si="28"/>
        <v>0</v>
      </c>
      <c r="P159" s="176">
        <f t="shared" si="29"/>
        <v>0</v>
      </c>
      <c r="Q159" s="176">
        <f t="shared" si="30"/>
        <v>0</v>
      </c>
      <c r="R159" s="176">
        <f t="shared" si="31"/>
        <v>0</v>
      </c>
      <c r="S159" s="176">
        <f t="shared" si="32"/>
        <v>0</v>
      </c>
      <c r="T159" s="176">
        <f>IF(SUM(L$40:L158)&lt;V$13,IF(SUM(L$40:L159)&lt;V$13,0,(SUM(L$40:L159)-V$13)),L159)</f>
        <v>0</v>
      </c>
      <c r="U159" s="210"/>
      <c r="V159" s="176"/>
      <c r="W159" s="210"/>
      <c r="X159" s="176"/>
      <c r="Y159" s="201"/>
    </row>
    <row r="160" spans="1:25" x14ac:dyDescent="0.25">
      <c r="A160" s="219">
        <v>2044</v>
      </c>
      <c r="B160" s="200" t="s">
        <v>69</v>
      </c>
      <c r="C160" s="200">
        <f>+A160</f>
        <v>2044</v>
      </c>
      <c r="D160" s="200">
        <v>121</v>
      </c>
      <c r="E160" s="200">
        <f t="shared" si="26"/>
        <v>0.27476395720888375</v>
      </c>
      <c r="F160" s="200">
        <f t="shared" si="27"/>
        <v>0.27437204462353881</v>
      </c>
      <c r="G160" s="210"/>
      <c r="H160" s="176">
        <f>+G160*F160</f>
        <v>0</v>
      </c>
      <c r="I160" s="210"/>
      <c r="J160" s="176">
        <f>+I160*F160</f>
        <v>0</v>
      </c>
      <c r="K160" s="155"/>
      <c r="L160" s="155"/>
      <c r="M160" s="176">
        <f>IF(SUM(M$40:M159)=K$38,0,IF(SUM(L$40:L160)&lt;$V$13,L160,K$38-SUM(L$40:L159)))</f>
        <v>0</v>
      </c>
      <c r="N160" s="176">
        <f t="shared" si="33"/>
        <v>0</v>
      </c>
      <c r="O160" s="176">
        <f t="shared" si="28"/>
        <v>0</v>
      </c>
      <c r="P160" s="176">
        <f t="shared" si="29"/>
        <v>0</v>
      </c>
      <c r="Q160" s="176">
        <f t="shared" si="30"/>
        <v>0</v>
      </c>
      <c r="R160" s="176">
        <f t="shared" si="31"/>
        <v>0</v>
      </c>
      <c r="S160" s="176">
        <f t="shared" si="32"/>
        <v>0</v>
      </c>
      <c r="T160" s="176">
        <f>IF(SUM(L$40:L159)&lt;V$13,IF(SUM(L$40:L160)&lt;V$13,0,(SUM(L$40:L160)-V$13)),L160)</f>
        <v>0</v>
      </c>
      <c r="U160" s="210">
        <f>SUM(T160:T163)</f>
        <v>0</v>
      </c>
      <c r="V160" s="176">
        <f>+U160*F160</f>
        <v>0</v>
      </c>
      <c r="W160" s="210"/>
      <c r="X160" s="176">
        <f>+W160*F160</f>
        <v>0</v>
      </c>
      <c r="Y160" s="201"/>
    </row>
    <row r="161" spans="1:25" x14ac:dyDescent="0.25">
      <c r="A161" s="219"/>
      <c r="B161" s="200" t="s">
        <v>70</v>
      </c>
      <c r="C161" s="200">
        <f>+C160</f>
        <v>2044</v>
      </c>
      <c r="D161" s="200">
        <v>122</v>
      </c>
      <c r="E161" s="200">
        <f t="shared" si="26"/>
        <v>0.27025076936056236</v>
      </c>
      <c r="F161" s="200">
        <f t="shared" si="27"/>
        <v>0.27437204462353881</v>
      </c>
      <c r="G161" s="210"/>
      <c r="H161" s="200"/>
      <c r="I161" s="210"/>
      <c r="J161" s="200"/>
      <c r="K161" s="155"/>
      <c r="L161" s="155"/>
      <c r="M161" s="176">
        <f>IF(SUM(M$40:M160)=K$38,0,IF(SUM(L$40:L161)&lt;$V$13,L161,K$38-SUM(L$40:L160)))</f>
        <v>0</v>
      </c>
      <c r="N161" s="176">
        <f t="shared" si="33"/>
        <v>0</v>
      </c>
      <c r="O161" s="176">
        <f t="shared" si="28"/>
        <v>0</v>
      </c>
      <c r="P161" s="176">
        <f t="shared" si="29"/>
        <v>0</v>
      </c>
      <c r="Q161" s="176">
        <f t="shared" si="30"/>
        <v>0</v>
      </c>
      <c r="R161" s="176">
        <f t="shared" si="31"/>
        <v>0</v>
      </c>
      <c r="S161" s="176">
        <f t="shared" si="32"/>
        <v>0</v>
      </c>
      <c r="T161" s="176">
        <f>IF(SUM(L$40:L160)&lt;V$13,IF(SUM(L$40:L161)&lt;V$13,0,(SUM(L$40:L161)-V$13)),L161)</f>
        <v>0</v>
      </c>
      <c r="U161" s="210"/>
      <c r="V161" s="176"/>
      <c r="W161" s="210"/>
      <c r="X161" s="176"/>
      <c r="Y161" s="201"/>
    </row>
    <row r="162" spans="1:25" x14ac:dyDescent="0.25">
      <c r="A162" s="219"/>
      <c r="B162" s="200" t="s">
        <v>71</v>
      </c>
      <c r="C162" s="200">
        <f>+C160</f>
        <v>2044</v>
      </c>
      <c r="D162" s="200">
        <v>123</v>
      </c>
      <c r="E162" s="200">
        <f t="shared" si="26"/>
        <v>0.26581171374108631</v>
      </c>
      <c r="F162" s="200">
        <f t="shared" si="27"/>
        <v>0.27437204462353881</v>
      </c>
      <c r="G162" s="210"/>
      <c r="H162" s="200"/>
      <c r="I162" s="210"/>
      <c r="J162" s="200"/>
      <c r="K162" s="155"/>
      <c r="L162" s="155"/>
      <c r="M162" s="176">
        <f>IF(SUM(M$40:M161)=K$38,0,IF(SUM(L$40:L162)&lt;$V$13,L162,K$38-SUM(L$40:L161)))</f>
        <v>0</v>
      </c>
      <c r="N162" s="176">
        <f t="shared" si="33"/>
        <v>0</v>
      </c>
      <c r="O162" s="176">
        <f t="shared" si="28"/>
        <v>0</v>
      </c>
      <c r="P162" s="176">
        <f t="shared" si="29"/>
        <v>0</v>
      </c>
      <c r="Q162" s="176">
        <f t="shared" si="30"/>
        <v>0</v>
      </c>
      <c r="R162" s="176">
        <f t="shared" si="31"/>
        <v>0</v>
      </c>
      <c r="S162" s="176">
        <f t="shared" si="32"/>
        <v>0</v>
      </c>
      <c r="T162" s="176">
        <f>IF(SUM(L$40:L161)&lt;V$13,IF(SUM(L$40:L162)&lt;V$13,0,(SUM(L$40:L162)-V$13)),L162)</f>
        <v>0</v>
      </c>
      <c r="U162" s="210"/>
      <c r="V162" s="176"/>
      <c r="W162" s="210"/>
      <c r="X162" s="176"/>
      <c r="Y162" s="201"/>
    </row>
    <row r="163" spans="1:25" x14ac:dyDescent="0.25">
      <c r="A163" s="219"/>
      <c r="B163" s="200" t="s">
        <v>72</v>
      </c>
      <c r="C163" s="200">
        <f>+C160</f>
        <v>2044</v>
      </c>
      <c r="D163" s="200">
        <v>124</v>
      </c>
      <c r="E163" s="200">
        <f t="shared" si="26"/>
        <v>0.26144557267737417</v>
      </c>
      <c r="F163" s="200">
        <f t="shared" si="27"/>
        <v>0.27437204462353881</v>
      </c>
      <c r="G163" s="210"/>
      <c r="H163" s="200"/>
      <c r="I163" s="210"/>
      <c r="J163" s="200"/>
      <c r="K163" s="155"/>
      <c r="L163" s="155"/>
      <c r="M163" s="176">
        <f>IF(SUM(M$40:M162)=K$38,0,IF(SUM(L$40:L163)&lt;$V$13,L163,K$38-SUM(L$40:L162)))</f>
        <v>0</v>
      </c>
      <c r="N163" s="176">
        <f t="shared" si="33"/>
        <v>0</v>
      </c>
      <c r="O163" s="176">
        <f t="shared" si="28"/>
        <v>0</v>
      </c>
      <c r="P163" s="176">
        <f t="shared" si="29"/>
        <v>0</v>
      </c>
      <c r="Q163" s="176">
        <f t="shared" si="30"/>
        <v>0</v>
      </c>
      <c r="R163" s="176">
        <f t="shared" si="31"/>
        <v>0</v>
      </c>
      <c r="S163" s="176">
        <f t="shared" si="32"/>
        <v>0</v>
      </c>
      <c r="T163" s="176">
        <f>IF(SUM(L$40:L162)&lt;V$13,IF(SUM(L$40:L163)&lt;V$13,0,(SUM(L$40:L163)-V$13)),L163)</f>
        <v>0</v>
      </c>
      <c r="U163" s="210"/>
      <c r="V163" s="176"/>
      <c r="W163" s="210"/>
      <c r="X163" s="176"/>
      <c r="Y163" s="201"/>
    </row>
    <row r="164" spans="1:25" ht="12.75" customHeight="1" x14ac:dyDescent="0.25">
      <c r="A164" s="219">
        <v>2045</v>
      </c>
      <c r="B164" s="200" t="s">
        <v>69</v>
      </c>
      <c r="C164" s="200">
        <f>+A164</f>
        <v>2045</v>
      </c>
      <c r="D164" s="200">
        <v>125</v>
      </c>
      <c r="E164" s="200">
        <f t="shared" si="26"/>
        <v>0.25715114849746651</v>
      </c>
      <c r="F164" s="200">
        <f t="shared" si="27"/>
        <v>0.25719164287920776</v>
      </c>
      <c r="G164" s="210"/>
      <c r="H164" s="176">
        <f>+G164*F164</f>
        <v>0</v>
      </c>
      <c r="I164" s="210"/>
      <c r="J164" s="176">
        <f>+I164*F164</f>
        <v>0</v>
      </c>
      <c r="K164" s="155"/>
      <c r="L164" s="155"/>
      <c r="M164" s="176">
        <f>IF(SUM(M$40:M163)=K$38,0,IF(SUM(L$40:L164)&lt;$V$13,L164,K$38-SUM(L$40:L163)))</f>
        <v>0</v>
      </c>
      <c r="N164" s="176">
        <f t="shared" si="33"/>
        <v>0</v>
      </c>
      <c r="O164" s="176">
        <f t="shared" si="28"/>
        <v>0</v>
      </c>
      <c r="P164" s="176">
        <f t="shared" si="29"/>
        <v>0</v>
      </c>
      <c r="Q164" s="176">
        <f t="shared" si="30"/>
        <v>0</v>
      </c>
      <c r="R164" s="176">
        <f t="shared" si="31"/>
        <v>0</v>
      </c>
      <c r="S164" s="176">
        <f t="shared" si="32"/>
        <v>0</v>
      </c>
      <c r="T164" s="176">
        <f>IF(SUM(L$40:L163)&lt;V$13,IF(SUM(L$40:L164)&lt;V$13,0,(SUM(L$40:L164)-V$13)),L164)</f>
        <v>0</v>
      </c>
      <c r="U164" s="210">
        <f>SUM(T164:T167)</f>
        <v>0</v>
      </c>
      <c r="V164" s="176">
        <f>+U164*F164</f>
        <v>0</v>
      </c>
      <c r="W164" s="210"/>
      <c r="X164" s="176">
        <f>+W164*F164</f>
        <v>0</v>
      </c>
      <c r="Y164" s="201"/>
    </row>
    <row r="165" spans="1:25" ht="12.75" customHeight="1" x14ac:dyDescent="0.25">
      <c r="A165" s="219"/>
      <c r="B165" s="200" t="s">
        <v>70</v>
      </c>
      <c r="C165" s="200">
        <f>+C164</f>
        <v>2045</v>
      </c>
      <c r="D165" s="200">
        <v>126</v>
      </c>
      <c r="E165" s="200">
        <f t="shared" si="26"/>
        <v>0.25292726320199327</v>
      </c>
      <c r="F165" s="200">
        <f t="shared" si="27"/>
        <v>0.25719164287920776</v>
      </c>
      <c r="G165" s="210"/>
      <c r="H165" s="200"/>
      <c r="I165" s="210"/>
      <c r="J165" s="200"/>
      <c r="K165" s="155"/>
      <c r="L165" s="155"/>
      <c r="M165" s="176">
        <f>IF(SUM(M$40:M164)=K$38,0,IF(SUM(L$40:L165)&lt;$V$13,L165,K$38-SUM(L$40:L164)))</f>
        <v>0</v>
      </c>
      <c r="N165" s="176">
        <f t="shared" si="33"/>
        <v>0</v>
      </c>
      <c r="O165" s="176">
        <f t="shared" si="28"/>
        <v>0</v>
      </c>
      <c r="P165" s="176">
        <f t="shared" si="29"/>
        <v>0</v>
      </c>
      <c r="Q165" s="176">
        <f t="shared" si="30"/>
        <v>0</v>
      </c>
      <c r="R165" s="176">
        <f t="shared" si="31"/>
        <v>0</v>
      </c>
      <c r="S165" s="176">
        <f t="shared" si="32"/>
        <v>0</v>
      </c>
      <c r="T165" s="176">
        <f>IF(SUM(L$40:L164)&lt;V$13,IF(SUM(L$40:L165)&lt;V$13,0,(SUM(L$40:L165)-V$13)),L165)</f>
        <v>0</v>
      </c>
      <c r="U165" s="210"/>
      <c r="V165" s="176"/>
      <c r="W165" s="210"/>
      <c r="X165" s="176"/>
      <c r="Y165" s="201"/>
    </row>
    <row r="166" spans="1:25" ht="12.75" customHeight="1" x14ac:dyDescent="0.25">
      <c r="A166" s="219"/>
      <c r="B166" s="200" t="s">
        <v>71</v>
      </c>
      <c r="C166" s="200">
        <f>+C164</f>
        <v>2045</v>
      </c>
      <c r="D166" s="200">
        <v>127</v>
      </c>
      <c r="E166" s="200">
        <f t="shared" si="26"/>
        <v>0.24877275814103797</v>
      </c>
      <c r="F166" s="200">
        <f t="shared" si="27"/>
        <v>0.25719164287920776</v>
      </c>
      <c r="G166" s="210"/>
      <c r="H166" s="200"/>
      <c r="I166" s="210"/>
      <c r="J166" s="200"/>
      <c r="K166" s="155"/>
      <c r="L166" s="155"/>
      <c r="M166" s="176">
        <f>IF(SUM(M$40:M165)=K$38,0,IF(SUM(L$40:L166)&lt;$V$13,L166,K$38-SUM(L$40:L165)))</f>
        <v>0</v>
      </c>
      <c r="N166" s="176">
        <f t="shared" si="33"/>
        <v>0</v>
      </c>
      <c r="O166" s="176">
        <f t="shared" si="28"/>
        <v>0</v>
      </c>
      <c r="P166" s="176">
        <f t="shared" si="29"/>
        <v>0</v>
      </c>
      <c r="Q166" s="176">
        <f t="shared" si="30"/>
        <v>0</v>
      </c>
      <c r="R166" s="176">
        <f t="shared" si="31"/>
        <v>0</v>
      </c>
      <c r="S166" s="176">
        <f t="shared" si="32"/>
        <v>0</v>
      </c>
      <c r="T166" s="176">
        <f>IF(SUM(L$40:L165)&lt;V$13,IF(SUM(L$40:L166)&lt;V$13,0,(SUM(L$40:L166)-V$13)),L166)</f>
        <v>0</v>
      </c>
      <c r="U166" s="210"/>
      <c r="V166" s="176"/>
      <c r="W166" s="210"/>
      <c r="X166" s="176"/>
      <c r="Y166" s="201"/>
    </row>
    <row r="167" spans="1:25" ht="12.75" customHeight="1" x14ac:dyDescent="0.25">
      <c r="A167" s="219"/>
      <c r="B167" s="200" t="s">
        <v>72</v>
      </c>
      <c r="C167" s="200">
        <f>+C164</f>
        <v>2045</v>
      </c>
      <c r="D167" s="200">
        <v>128</v>
      </c>
      <c r="E167" s="200">
        <f t="shared" si="26"/>
        <v>0.24468649369630954</v>
      </c>
      <c r="F167" s="200">
        <f t="shared" si="27"/>
        <v>0.25719164287920776</v>
      </c>
      <c r="G167" s="210"/>
      <c r="H167" s="200"/>
      <c r="I167" s="210"/>
      <c r="J167" s="200"/>
      <c r="K167" s="155"/>
      <c r="L167" s="155"/>
      <c r="M167" s="176">
        <f>IF(SUM(M$40:M166)=K$38,0,IF(SUM(L$40:L167)&lt;$V$13,L167,K$38-SUM(L$40:L166)))</f>
        <v>0</v>
      </c>
      <c r="N167" s="176">
        <f t="shared" si="33"/>
        <v>0</v>
      </c>
      <c r="O167" s="176">
        <f t="shared" si="28"/>
        <v>0</v>
      </c>
      <c r="P167" s="176">
        <f t="shared" si="29"/>
        <v>0</v>
      </c>
      <c r="Q167" s="176">
        <f t="shared" si="30"/>
        <v>0</v>
      </c>
      <c r="R167" s="176">
        <f t="shared" si="31"/>
        <v>0</v>
      </c>
      <c r="S167" s="176">
        <f t="shared" si="32"/>
        <v>0</v>
      </c>
      <c r="T167" s="176">
        <f>IF(SUM(L$40:L166)&lt;V$13,IF(SUM(L$40:L167)&lt;V$13,0,(SUM(L$40:L167)-V$13)),L167)</f>
        <v>0</v>
      </c>
      <c r="U167" s="210"/>
      <c r="V167" s="176"/>
      <c r="W167" s="210"/>
      <c r="X167" s="176"/>
      <c r="Y167" s="201"/>
    </row>
    <row r="168" spans="1:25" ht="12.75" customHeight="1" x14ac:dyDescent="0.25">
      <c r="A168" s="219">
        <v>2046</v>
      </c>
      <c r="B168" s="200" t="s">
        <v>69</v>
      </c>
      <c r="C168" s="200">
        <f>+A168</f>
        <v>2046</v>
      </c>
      <c r="D168" s="200">
        <v>129</v>
      </c>
      <c r="E168" s="200">
        <f t="shared" ref="E168:E187" si="34">IF(D168&lt;$B$14,1,(1/(1+$K$17/4)^(D168-$B$14+1)))</f>
        <v>0.24066734896853506</v>
      </c>
      <c r="F168" s="200">
        <f t="shared" ref="F168:F187" si="35">IF(C168&lt;($B$12+1),1,(1/(1+$K$17)^(C168-$B$12)))</f>
        <v>0.2410870293205922</v>
      </c>
      <c r="G168" s="210"/>
      <c r="H168" s="176">
        <f>+G168*F168</f>
        <v>0</v>
      </c>
      <c r="I168" s="210"/>
      <c r="J168" s="176">
        <f>+I168*F168</f>
        <v>0</v>
      </c>
      <c r="K168" s="155"/>
      <c r="L168" s="155"/>
      <c r="M168" s="176">
        <f>IF(SUM(M$40:M167)=K$38,0,IF(SUM(L$40:L168)&lt;$V$13,L168,K$38-SUM(L$40:L167)))</f>
        <v>0</v>
      </c>
      <c r="N168" s="176">
        <f t="shared" si="33"/>
        <v>0</v>
      </c>
      <c r="O168" s="176">
        <f t="shared" ref="O168:O187" si="36">+N168*($K$21/4)</f>
        <v>0</v>
      </c>
      <c r="P168" s="176">
        <f t="shared" ref="P168:P187" si="37">+N168*($K$20/4)</f>
        <v>0</v>
      </c>
      <c r="Q168" s="176">
        <f t="shared" ref="Q168:Q187" si="38">+P168-O168</f>
        <v>0</v>
      </c>
      <c r="R168" s="176">
        <f t="shared" ref="R168:R187" si="39">+Q168*E168</f>
        <v>0</v>
      </c>
      <c r="S168" s="176">
        <f t="shared" ref="S168:S187" si="40">+L168-T168</f>
        <v>0</v>
      </c>
      <c r="T168" s="176">
        <f>IF(SUM(L$40:L167)&lt;V$13,IF(SUM(L$40:L168)&lt;V$13,0,(SUM(L$40:L168)-V$13)),L168)</f>
        <v>0</v>
      </c>
      <c r="U168" s="210">
        <f>SUM(T168:T171)</f>
        <v>0</v>
      </c>
      <c r="V168" s="176">
        <f>+U168*F168</f>
        <v>0</v>
      </c>
      <c r="W168" s="210"/>
      <c r="X168" s="176">
        <f>+W168*F168</f>
        <v>0</v>
      </c>
      <c r="Y168" s="201"/>
    </row>
    <row r="169" spans="1:25" ht="12.75" customHeight="1" x14ac:dyDescent="0.25">
      <c r="A169" s="219"/>
      <c r="B169" s="200" t="s">
        <v>70</v>
      </c>
      <c r="C169" s="200">
        <f>+C168</f>
        <v>2046</v>
      </c>
      <c r="D169" s="200">
        <v>130</v>
      </c>
      <c r="E169" s="200">
        <f t="shared" si="34"/>
        <v>0.23671422146998633</v>
      </c>
      <c r="F169" s="200">
        <f t="shared" si="35"/>
        <v>0.2410870293205922</v>
      </c>
      <c r="G169" s="210"/>
      <c r="H169" s="200"/>
      <c r="I169" s="210"/>
      <c r="J169" s="200"/>
      <c r="K169" s="155"/>
      <c r="L169" s="155"/>
      <c r="M169" s="176">
        <f>IF(SUM(M$40:M168)=K$38,0,IF(SUM(L$40:L169)&lt;$V$13,L169,K$38-SUM(L$40:L168)))</f>
        <v>0</v>
      </c>
      <c r="N169" s="176">
        <f t="shared" ref="N169:N187" si="41">+N168+K169-M168</f>
        <v>0</v>
      </c>
      <c r="O169" s="176">
        <f t="shared" si="36"/>
        <v>0</v>
      </c>
      <c r="P169" s="176">
        <f t="shared" si="37"/>
        <v>0</v>
      </c>
      <c r="Q169" s="176">
        <f t="shared" si="38"/>
        <v>0</v>
      </c>
      <c r="R169" s="176">
        <f t="shared" si="39"/>
        <v>0</v>
      </c>
      <c r="S169" s="176">
        <f t="shared" si="40"/>
        <v>0</v>
      </c>
      <c r="T169" s="176">
        <f>IF(SUM(L$40:L168)&lt;V$13,IF(SUM(L$40:L169)&lt;V$13,0,(SUM(L$40:L169)-V$13)),L169)</f>
        <v>0</v>
      </c>
      <c r="U169" s="210"/>
      <c r="V169" s="176"/>
      <c r="W169" s="210"/>
      <c r="X169" s="176"/>
      <c r="Y169" s="201"/>
    </row>
    <row r="170" spans="1:25" ht="12.75" customHeight="1" x14ac:dyDescent="0.25">
      <c r="A170" s="219"/>
      <c r="B170" s="200" t="s">
        <v>71</v>
      </c>
      <c r="C170" s="200">
        <f>+C168</f>
        <v>2046</v>
      </c>
      <c r="D170" s="200">
        <v>131</v>
      </c>
      <c r="E170" s="200">
        <f t="shared" si="34"/>
        <v>0.232826026822058</v>
      </c>
      <c r="F170" s="200">
        <f t="shared" si="35"/>
        <v>0.2410870293205922</v>
      </c>
      <c r="G170" s="210"/>
      <c r="H170" s="200"/>
      <c r="I170" s="210"/>
      <c r="J170" s="200"/>
      <c r="K170" s="155"/>
      <c r="L170" s="155"/>
      <c r="M170" s="176">
        <f>IF(SUM(M$40:M169)=K$38,0,IF(SUM(L$40:L170)&lt;$V$13,L170,K$38-SUM(L$40:L169)))</f>
        <v>0</v>
      </c>
      <c r="N170" s="176">
        <f t="shared" si="41"/>
        <v>0</v>
      </c>
      <c r="O170" s="176">
        <f t="shared" si="36"/>
        <v>0</v>
      </c>
      <c r="P170" s="176">
        <f t="shared" si="37"/>
        <v>0</v>
      </c>
      <c r="Q170" s="176">
        <f t="shared" si="38"/>
        <v>0</v>
      </c>
      <c r="R170" s="176">
        <f t="shared" si="39"/>
        <v>0</v>
      </c>
      <c r="S170" s="176">
        <f t="shared" si="40"/>
        <v>0</v>
      </c>
      <c r="T170" s="176">
        <f>IF(SUM(L$40:L169)&lt;V$13,IF(SUM(L$40:L170)&lt;V$13,0,(SUM(L$40:L170)-V$13)),L170)</f>
        <v>0</v>
      </c>
      <c r="U170" s="210"/>
      <c r="V170" s="176"/>
      <c r="W170" s="210"/>
      <c r="X170" s="176"/>
      <c r="Y170" s="201"/>
    </row>
    <row r="171" spans="1:25" ht="12.75" customHeight="1" x14ac:dyDescent="0.25">
      <c r="A171" s="219"/>
      <c r="B171" s="200" t="s">
        <v>72</v>
      </c>
      <c r="C171" s="200">
        <f>+C168</f>
        <v>2046</v>
      </c>
      <c r="D171" s="200">
        <v>132</v>
      </c>
      <c r="E171" s="200">
        <f t="shared" si="34"/>
        <v>0.22900169845781249</v>
      </c>
      <c r="F171" s="200">
        <f t="shared" si="35"/>
        <v>0.2410870293205922</v>
      </c>
      <c r="G171" s="210"/>
      <c r="H171" s="200"/>
      <c r="I171" s="210"/>
      <c r="J171" s="200"/>
      <c r="K171" s="155"/>
      <c r="L171" s="155"/>
      <c r="M171" s="176">
        <f>IF(SUM(M$40:M170)=K$38,0,IF(SUM(L$40:L171)&lt;$V$13,L171,K$38-SUM(L$40:L170)))</f>
        <v>0</v>
      </c>
      <c r="N171" s="176">
        <f t="shared" si="41"/>
        <v>0</v>
      </c>
      <c r="O171" s="176">
        <f t="shared" si="36"/>
        <v>0</v>
      </c>
      <c r="P171" s="176">
        <f t="shared" si="37"/>
        <v>0</v>
      </c>
      <c r="Q171" s="176">
        <f t="shared" si="38"/>
        <v>0</v>
      </c>
      <c r="R171" s="176">
        <f t="shared" si="39"/>
        <v>0</v>
      </c>
      <c r="S171" s="176">
        <f t="shared" si="40"/>
        <v>0</v>
      </c>
      <c r="T171" s="176">
        <f>IF(SUM(L$40:L170)&lt;V$13,IF(SUM(L$40:L171)&lt;V$13,0,(SUM(L$40:L171)-V$13)),L171)</f>
        <v>0</v>
      </c>
      <c r="U171" s="210"/>
      <c r="V171" s="176"/>
      <c r="W171" s="210"/>
      <c r="X171" s="176"/>
      <c r="Y171" s="201"/>
    </row>
    <row r="172" spans="1:25" ht="12.75" customHeight="1" x14ac:dyDescent="0.25">
      <c r="A172" s="219">
        <v>2047</v>
      </c>
      <c r="B172" s="200" t="s">
        <v>69</v>
      </c>
      <c r="C172" s="200">
        <f>+A172</f>
        <v>2047</v>
      </c>
      <c r="D172" s="200">
        <v>133</v>
      </c>
      <c r="E172" s="200">
        <f t="shared" si="34"/>
        <v>0.22524018732941137</v>
      </c>
      <c r="F172" s="200">
        <f t="shared" si="35"/>
        <v>0.22599084113291359</v>
      </c>
      <c r="G172" s="210"/>
      <c r="H172" s="176">
        <f>+G172*F172</f>
        <v>0</v>
      </c>
      <c r="I172" s="210"/>
      <c r="J172" s="176">
        <f>+I172*F172</f>
        <v>0</v>
      </c>
      <c r="K172" s="155"/>
      <c r="L172" s="155"/>
      <c r="M172" s="176">
        <f>IF(SUM(M$40:M171)=K$38,0,IF(SUM(L$40:L172)&lt;$V$13,L172,K$38-SUM(L$40:L171)))</f>
        <v>0</v>
      </c>
      <c r="N172" s="176">
        <f t="shared" si="41"/>
        <v>0</v>
      </c>
      <c r="O172" s="176">
        <f t="shared" si="36"/>
        <v>0</v>
      </c>
      <c r="P172" s="176">
        <f t="shared" si="37"/>
        <v>0</v>
      </c>
      <c r="Q172" s="176">
        <f t="shared" si="38"/>
        <v>0</v>
      </c>
      <c r="R172" s="176">
        <f t="shared" si="39"/>
        <v>0</v>
      </c>
      <c r="S172" s="176">
        <f t="shared" si="40"/>
        <v>0</v>
      </c>
      <c r="T172" s="176">
        <f>IF(SUM(L$40:L171)&lt;V$13,IF(SUM(L$40:L172)&lt;V$13,0,(SUM(L$40:L172)-V$13)),L172)</f>
        <v>0</v>
      </c>
      <c r="U172" s="210">
        <f>SUM(T172:T175)</f>
        <v>0</v>
      </c>
      <c r="V172" s="176">
        <f>+U172*F172</f>
        <v>0</v>
      </c>
      <c r="W172" s="210"/>
      <c r="X172" s="176">
        <f>+W172*F172</f>
        <v>0</v>
      </c>
      <c r="Y172" s="201"/>
    </row>
    <row r="173" spans="1:25" ht="12.75" customHeight="1" x14ac:dyDescent="0.25">
      <c r="A173" s="219"/>
      <c r="B173" s="200" t="s">
        <v>70</v>
      </c>
      <c r="C173" s="200">
        <f>+C172</f>
        <v>2047</v>
      </c>
      <c r="D173" s="200">
        <v>134</v>
      </c>
      <c r="E173" s="200">
        <f t="shared" si="34"/>
        <v>0.22154046162035157</v>
      </c>
      <c r="F173" s="200">
        <f t="shared" si="35"/>
        <v>0.22599084113291359</v>
      </c>
      <c r="G173" s="210"/>
      <c r="H173" s="200"/>
      <c r="I173" s="210"/>
      <c r="J173" s="200"/>
      <c r="K173" s="155"/>
      <c r="L173" s="155"/>
      <c r="M173" s="176">
        <f>IF(SUM(M$40:M172)=K$38,0,IF(SUM(L$40:L173)&lt;$V$13,L173,K$38-SUM(L$40:L172)))</f>
        <v>0</v>
      </c>
      <c r="N173" s="176">
        <f t="shared" si="41"/>
        <v>0</v>
      </c>
      <c r="O173" s="176">
        <f t="shared" si="36"/>
        <v>0</v>
      </c>
      <c r="P173" s="176">
        <f t="shared" si="37"/>
        <v>0</v>
      </c>
      <c r="Q173" s="176">
        <f t="shared" si="38"/>
        <v>0</v>
      </c>
      <c r="R173" s="176">
        <f t="shared" si="39"/>
        <v>0</v>
      </c>
      <c r="S173" s="176">
        <f t="shared" si="40"/>
        <v>0</v>
      </c>
      <c r="T173" s="176">
        <f>IF(SUM(L$40:L172)&lt;V$13,IF(SUM(L$40:L173)&lt;V$13,0,(SUM(L$40:L173)-V$13)),L173)</f>
        <v>0</v>
      </c>
      <c r="U173" s="210"/>
      <c r="V173" s="176"/>
      <c r="W173" s="210"/>
      <c r="X173" s="176"/>
      <c r="Y173" s="201"/>
    </row>
    <row r="174" spans="1:25" ht="12.75" customHeight="1" x14ac:dyDescent="0.25">
      <c r="A174" s="219"/>
      <c r="B174" s="200" t="s">
        <v>71</v>
      </c>
      <c r="C174" s="200">
        <f>+C172</f>
        <v>2047</v>
      </c>
      <c r="D174" s="200">
        <v>135</v>
      </c>
      <c r="E174" s="200">
        <f t="shared" si="34"/>
        <v>0.21790150646242898</v>
      </c>
      <c r="F174" s="200">
        <f t="shared" si="35"/>
        <v>0.22599084113291359</v>
      </c>
      <c r="G174" s="210"/>
      <c r="H174" s="200"/>
      <c r="I174" s="210"/>
      <c r="J174" s="200"/>
      <c r="K174" s="155"/>
      <c r="L174" s="155"/>
      <c r="M174" s="176">
        <f>IF(SUM(M$40:M173)=K$38,0,IF(SUM(L$40:L174)&lt;$V$13,L174,K$38-SUM(L$40:L173)))</f>
        <v>0</v>
      </c>
      <c r="N174" s="176">
        <f t="shared" si="41"/>
        <v>0</v>
      </c>
      <c r="O174" s="176">
        <f t="shared" si="36"/>
        <v>0</v>
      </c>
      <c r="P174" s="176">
        <f t="shared" si="37"/>
        <v>0</v>
      </c>
      <c r="Q174" s="176">
        <f t="shared" si="38"/>
        <v>0</v>
      </c>
      <c r="R174" s="176">
        <f t="shared" si="39"/>
        <v>0</v>
      </c>
      <c r="S174" s="176">
        <f t="shared" si="40"/>
        <v>0</v>
      </c>
      <c r="T174" s="176">
        <f>IF(SUM(L$40:L173)&lt;V$13,IF(SUM(L$40:L174)&lt;V$13,0,(SUM(L$40:L174)-V$13)),L174)</f>
        <v>0</v>
      </c>
      <c r="U174" s="210"/>
      <c r="V174" s="176"/>
      <c r="W174" s="210"/>
      <c r="X174" s="176"/>
      <c r="Y174" s="201"/>
    </row>
    <row r="175" spans="1:25" ht="12.75" customHeight="1" x14ac:dyDescent="0.25">
      <c r="A175" s="219"/>
      <c r="B175" s="200" t="s">
        <v>72</v>
      </c>
      <c r="C175" s="200">
        <f>+C172</f>
        <v>2047</v>
      </c>
      <c r="D175" s="200">
        <v>136</v>
      </c>
      <c r="E175" s="200">
        <f t="shared" si="34"/>
        <v>0.21432232365735121</v>
      </c>
      <c r="F175" s="200">
        <f t="shared" si="35"/>
        <v>0.22599084113291359</v>
      </c>
      <c r="G175" s="210"/>
      <c r="H175" s="200"/>
      <c r="I175" s="210"/>
      <c r="J175" s="200"/>
      <c r="K175" s="155"/>
      <c r="L175" s="155"/>
      <c r="M175" s="176">
        <f>IF(SUM(M$40:M174)=K$38,0,IF(SUM(L$40:L175)&lt;$V$13,L175,K$38-SUM(L$40:L174)))</f>
        <v>0</v>
      </c>
      <c r="N175" s="176">
        <f t="shared" si="41"/>
        <v>0</v>
      </c>
      <c r="O175" s="176">
        <f t="shared" si="36"/>
        <v>0</v>
      </c>
      <c r="P175" s="176">
        <f t="shared" si="37"/>
        <v>0</v>
      </c>
      <c r="Q175" s="176">
        <f t="shared" si="38"/>
        <v>0</v>
      </c>
      <c r="R175" s="176">
        <f t="shared" si="39"/>
        <v>0</v>
      </c>
      <c r="S175" s="176">
        <f t="shared" si="40"/>
        <v>0</v>
      </c>
      <c r="T175" s="176">
        <f>IF(SUM(L$40:L174)&lt;V$13,IF(SUM(L$40:L175)&lt;V$13,0,(SUM(L$40:L175)-V$13)),L175)</f>
        <v>0</v>
      </c>
      <c r="U175" s="210"/>
      <c r="V175" s="176"/>
      <c r="W175" s="210"/>
      <c r="X175" s="176"/>
      <c r="Y175" s="201"/>
    </row>
    <row r="176" spans="1:25" ht="12.75" customHeight="1" x14ac:dyDescent="0.25">
      <c r="A176" s="219">
        <v>2048</v>
      </c>
      <c r="B176" s="200" t="s">
        <v>69</v>
      </c>
      <c r="C176" s="200">
        <f>+A176</f>
        <v>2048</v>
      </c>
      <c r="D176" s="200">
        <v>137</v>
      </c>
      <c r="E176" s="200">
        <f t="shared" si="34"/>
        <v>0.21080193140292247</v>
      </c>
      <c r="F176" s="200">
        <f t="shared" si="35"/>
        <v>0.21183993357041017</v>
      </c>
      <c r="G176" s="210"/>
      <c r="H176" s="176">
        <f>+G176*F176</f>
        <v>0</v>
      </c>
      <c r="I176" s="210"/>
      <c r="J176" s="176">
        <f>+I176*F176</f>
        <v>0</v>
      </c>
      <c r="K176" s="155"/>
      <c r="L176" s="155"/>
      <c r="M176" s="176">
        <f>IF(SUM(M$40:M175)=K$38,0,IF(SUM(L$40:L176)&lt;$V$13,L176,K$38-SUM(L$40:L175)))</f>
        <v>0</v>
      </c>
      <c r="N176" s="176">
        <f t="shared" si="41"/>
        <v>0</v>
      </c>
      <c r="O176" s="176">
        <f t="shared" si="36"/>
        <v>0</v>
      </c>
      <c r="P176" s="176">
        <f t="shared" si="37"/>
        <v>0</v>
      </c>
      <c r="Q176" s="176">
        <f t="shared" si="38"/>
        <v>0</v>
      </c>
      <c r="R176" s="176">
        <f t="shared" si="39"/>
        <v>0</v>
      </c>
      <c r="S176" s="176">
        <f t="shared" si="40"/>
        <v>0</v>
      </c>
      <c r="T176" s="176">
        <f>IF(SUM(L$40:L175)&lt;V$13,IF(SUM(L$40:L176)&lt;V$13,0,(SUM(L$40:L176)-V$13)),L176)</f>
        <v>0</v>
      </c>
      <c r="U176" s="210">
        <f>SUM(T176:T179)</f>
        <v>0</v>
      </c>
      <c r="V176" s="176">
        <f>+U176*F176</f>
        <v>0</v>
      </c>
      <c r="W176" s="210"/>
      <c r="X176" s="176">
        <f>+W176*F176</f>
        <v>0</v>
      </c>
      <c r="Y176" s="201"/>
    </row>
    <row r="177" spans="1:25" ht="12.75" customHeight="1" x14ac:dyDescent="0.25">
      <c r="A177" s="219"/>
      <c r="B177" s="200" t="s">
        <v>70</v>
      </c>
      <c r="C177" s="200">
        <f>+C176</f>
        <v>2048</v>
      </c>
      <c r="D177" s="200">
        <v>138</v>
      </c>
      <c r="E177" s="200">
        <f t="shared" si="34"/>
        <v>0.20733936402372627</v>
      </c>
      <c r="F177" s="200">
        <f t="shared" si="35"/>
        <v>0.21183993357041017</v>
      </c>
      <c r="G177" s="210"/>
      <c r="H177" s="200"/>
      <c r="I177" s="210"/>
      <c r="J177" s="200"/>
      <c r="K177" s="155"/>
      <c r="L177" s="155"/>
      <c r="M177" s="176">
        <f>IF(SUM(M$40:M176)=K$38,0,IF(SUM(L$40:L177)&lt;$V$13,L177,K$38-SUM(L$40:L176)))</f>
        <v>0</v>
      </c>
      <c r="N177" s="176">
        <f t="shared" si="41"/>
        <v>0</v>
      </c>
      <c r="O177" s="176">
        <f t="shared" si="36"/>
        <v>0</v>
      </c>
      <c r="P177" s="176">
        <f t="shared" si="37"/>
        <v>0</v>
      </c>
      <c r="Q177" s="176">
        <f t="shared" si="38"/>
        <v>0</v>
      </c>
      <c r="R177" s="176">
        <f t="shared" si="39"/>
        <v>0</v>
      </c>
      <c r="S177" s="176">
        <f t="shared" si="40"/>
        <v>0</v>
      </c>
      <c r="T177" s="176">
        <f>IF(SUM(L$40:L176)&lt;V$13,IF(SUM(L$40:L177)&lt;V$13,0,(SUM(L$40:L177)-V$13)),L177)</f>
        <v>0</v>
      </c>
      <c r="U177" s="210"/>
      <c r="V177" s="176"/>
      <c r="W177" s="210"/>
      <c r="X177" s="176"/>
      <c r="Y177" s="201"/>
    </row>
    <row r="178" spans="1:25" ht="12.75" customHeight="1" x14ac:dyDescent="0.25">
      <c r="A178" s="219"/>
      <c r="B178" s="200" t="s">
        <v>71</v>
      </c>
      <c r="C178" s="200">
        <f>+C176</f>
        <v>2048</v>
      </c>
      <c r="D178" s="200">
        <v>139</v>
      </c>
      <c r="E178" s="200">
        <f t="shared" si="34"/>
        <v>0.20393367170623222</v>
      </c>
      <c r="F178" s="200">
        <f t="shared" si="35"/>
        <v>0.21183993357041017</v>
      </c>
      <c r="G178" s="210"/>
      <c r="H178" s="200"/>
      <c r="I178" s="210"/>
      <c r="J178" s="200"/>
      <c r="K178" s="155"/>
      <c r="L178" s="155"/>
      <c r="M178" s="176">
        <f>IF(SUM(M$40:M177)=K$38,0,IF(SUM(L$40:L178)&lt;$V$13,L178,K$38-SUM(L$40:L177)))</f>
        <v>0</v>
      </c>
      <c r="N178" s="176">
        <f t="shared" si="41"/>
        <v>0</v>
      </c>
      <c r="O178" s="176">
        <f t="shared" si="36"/>
        <v>0</v>
      </c>
      <c r="P178" s="176">
        <f t="shared" si="37"/>
        <v>0</v>
      </c>
      <c r="Q178" s="176">
        <f t="shared" si="38"/>
        <v>0</v>
      </c>
      <c r="R178" s="176">
        <f t="shared" si="39"/>
        <v>0</v>
      </c>
      <c r="S178" s="176">
        <f t="shared" si="40"/>
        <v>0</v>
      </c>
      <c r="T178" s="176">
        <f>IF(SUM(L$40:L177)&lt;V$13,IF(SUM(L$40:L178)&lt;V$13,0,(SUM(L$40:L178)-V$13)),L178)</f>
        <v>0</v>
      </c>
      <c r="U178" s="210"/>
      <c r="V178" s="176"/>
      <c r="W178" s="210"/>
      <c r="X178" s="176"/>
      <c r="Y178" s="201"/>
    </row>
    <row r="179" spans="1:25" ht="12.75" customHeight="1" x14ac:dyDescent="0.25">
      <c r="A179" s="219"/>
      <c r="B179" s="200" t="s">
        <v>72</v>
      </c>
      <c r="C179" s="200">
        <f>+C176</f>
        <v>2048</v>
      </c>
      <c r="D179" s="200">
        <v>140</v>
      </c>
      <c r="E179" s="200">
        <f t="shared" si="34"/>
        <v>0.20058392023825339</v>
      </c>
      <c r="F179" s="200">
        <f t="shared" si="35"/>
        <v>0.21183993357041017</v>
      </c>
      <c r="G179" s="210"/>
      <c r="H179" s="200"/>
      <c r="I179" s="210"/>
      <c r="J179" s="200"/>
      <c r="K179" s="155"/>
      <c r="L179" s="155"/>
      <c r="M179" s="176">
        <f>IF(SUM(M$40:M178)=K$38,0,IF(SUM(L$40:L179)&lt;$V$13,L179,K$38-SUM(L$40:L178)))</f>
        <v>0</v>
      </c>
      <c r="N179" s="176">
        <f t="shared" si="41"/>
        <v>0</v>
      </c>
      <c r="O179" s="176">
        <f t="shared" si="36"/>
        <v>0</v>
      </c>
      <c r="P179" s="176">
        <f t="shared" si="37"/>
        <v>0</v>
      </c>
      <c r="Q179" s="176">
        <f t="shared" si="38"/>
        <v>0</v>
      </c>
      <c r="R179" s="176">
        <f t="shared" si="39"/>
        <v>0</v>
      </c>
      <c r="S179" s="176">
        <f t="shared" si="40"/>
        <v>0</v>
      </c>
      <c r="T179" s="176">
        <f>IF(SUM(L$40:L178)&lt;V$13,IF(SUM(L$40:L179)&lt;V$13,0,(SUM(L$40:L179)-V$13)),L179)</f>
        <v>0</v>
      </c>
      <c r="U179" s="210"/>
      <c r="V179" s="176"/>
      <c r="W179" s="210"/>
      <c r="X179" s="176"/>
      <c r="Y179" s="201"/>
    </row>
    <row r="180" spans="1:25" ht="12.75" customHeight="1" x14ac:dyDescent="0.25">
      <c r="A180" s="219">
        <v>2049</v>
      </c>
      <c r="B180" s="200" t="s">
        <v>69</v>
      </c>
      <c r="C180" s="200">
        <f>+A180</f>
        <v>2049</v>
      </c>
      <c r="D180" s="200">
        <v>141</v>
      </c>
      <c r="E180" s="200">
        <f t="shared" si="34"/>
        <v>0.19728919075268359</v>
      </c>
      <c r="F180" s="200">
        <f t="shared" si="35"/>
        <v>0.19857511583278045</v>
      </c>
      <c r="G180" s="210"/>
      <c r="H180" s="176">
        <f>+G180*F180</f>
        <v>0</v>
      </c>
      <c r="I180" s="210"/>
      <c r="J180" s="176">
        <f>+I180*F180</f>
        <v>0</v>
      </c>
      <c r="K180" s="155"/>
      <c r="L180" s="155"/>
      <c r="M180" s="176">
        <f>IF(SUM(M$40:M179)=K$38,0,IF(SUM(L$40:L180)&lt;$V$13,L180,K$38-SUM(L$40:L179)))</f>
        <v>0</v>
      </c>
      <c r="N180" s="176">
        <f t="shared" si="41"/>
        <v>0</v>
      </c>
      <c r="O180" s="176">
        <f t="shared" si="36"/>
        <v>0</v>
      </c>
      <c r="P180" s="176">
        <f t="shared" si="37"/>
        <v>0</v>
      </c>
      <c r="Q180" s="176">
        <f t="shared" si="38"/>
        <v>0</v>
      </c>
      <c r="R180" s="176">
        <f t="shared" si="39"/>
        <v>0</v>
      </c>
      <c r="S180" s="176">
        <f t="shared" si="40"/>
        <v>0</v>
      </c>
      <c r="T180" s="176">
        <f>IF(SUM(L$40:L179)&lt;V$13,IF(SUM(L$40:L180)&lt;V$13,0,(SUM(L$40:L180)-V$13)),L180)</f>
        <v>0</v>
      </c>
      <c r="U180" s="210">
        <f>SUM(T180:T183)</f>
        <v>0</v>
      </c>
      <c r="V180" s="176">
        <f>+U180*F180</f>
        <v>0</v>
      </c>
      <c r="W180" s="210"/>
      <c r="X180" s="176">
        <f>+W180*F180</f>
        <v>0</v>
      </c>
      <c r="Y180" s="201"/>
    </row>
    <row r="181" spans="1:25" ht="12.75" customHeight="1" x14ac:dyDescent="0.25">
      <c r="A181" s="219"/>
      <c r="B181" s="200" t="s">
        <v>70</v>
      </c>
      <c r="C181" s="200">
        <f>+C180</f>
        <v>2049</v>
      </c>
      <c r="D181" s="200">
        <v>142</v>
      </c>
      <c r="E181" s="200">
        <f t="shared" si="34"/>
        <v>0.19404857947544371</v>
      </c>
      <c r="F181" s="200">
        <f t="shared" si="35"/>
        <v>0.19857511583278045</v>
      </c>
      <c r="G181" s="210"/>
      <c r="H181" s="200"/>
      <c r="I181" s="210"/>
      <c r="J181" s="200"/>
      <c r="K181" s="155"/>
      <c r="L181" s="155"/>
      <c r="M181" s="176">
        <f>IF(SUM(M$40:M180)=K$38,0,IF(SUM(L$40:L181)&lt;$V$13,L181,K$38-SUM(L$40:L180)))</f>
        <v>0</v>
      </c>
      <c r="N181" s="176">
        <f t="shared" si="41"/>
        <v>0</v>
      </c>
      <c r="O181" s="176">
        <f t="shared" si="36"/>
        <v>0</v>
      </c>
      <c r="P181" s="176">
        <f t="shared" si="37"/>
        <v>0</v>
      </c>
      <c r="Q181" s="176">
        <f t="shared" si="38"/>
        <v>0</v>
      </c>
      <c r="R181" s="176">
        <f t="shared" si="39"/>
        <v>0</v>
      </c>
      <c r="S181" s="176">
        <f t="shared" si="40"/>
        <v>0</v>
      </c>
      <c r="T181" s="176">
        <f>IF(SUM(L$40:L180)&lt;V$13,IF(SUM(L$40:L181)&lt;V$13,0,(SUM(L$40:L181)-V$13)),L181)</f>
        <v>0</v>
      </c>
      <c r="U181" s="210"/>
      <c r="V181" s="176"/>
      <c r="W181" s="210"/>
      <c r="X181" s="176"/>
      <c r="Y181" s="201"/>
    </row>
    <row r="182" spans="1:25" ht="12.75" customHeight="1" x14ac:dyDescent="0.25">
      <c r="A182" s="219"/>
      <c r="B182" s="200" t="s">
        <v>71</v>
      </c>
      <c r="C182" s="200">
        <f>+C180</f>
        <v>2049</v>
      </c>
      <c r="D182" s="200">
        <v>143</v>
      </c>
      <c r="E182" s="200">
        <f t="shared" si="34"/>
        <v>0.19086119747756833</v>
      </c>
      <c r="F182" s="200">
        <f t="shared" si="35"/>
        <v>0.19857511583278045</v>
      </c>
      <c r="G182" s="210"/>
      <c r="H182" s="200"/>
      <c r="I182" s="210"/>
      <c r="J182" s="200"/>
      <c r="K182" s="155"/>
      <c r="L182" s="155"/>
      <c r="M182" s="176">
        <f>IF(SUM(M$40:M181)=K$38,0,IF(SUM(L$40:L182)&lt;$V$13,L182,K$38-SUM(L$40:L181)))</f>
        <v>0</v>
      </c>
      <c r="N182" s="176">
        <f t="shared" si="41"/>
        <v>0</v>
      </c>
      <c r="O182" s="176">
        <f t="shared" si="36"/>
        <v>0</v>
      </c>
      <c r="P182" s="176">
        <f t="shared" si="37"/>
        <v>0</v>
      </c>
      <c r="Q182" s="176">
        <f t="shared" si="38"/>
        <v>0</v>
      </c>
      <c r="R182" s="176">
        <f t="shared" si="39"/>
        <v>0</v>
      </c>
      <c r="S182" s="176">
        <f t="shared" si="40"/>
        <v>0</v>
      </c>
      <c r="T182" s="176">
        <f>IF(SUM(L$40:L181)&lt;V$13,IF(SUM(L$40:L182)&lt;V$13,0,(SUM(L$40:L182)-V$13)),L182)</f>
        <v>0</v>
      </c>
      <c r="U182" s="210"/>
      <c r="V182" s="176"/>
      <c r="W182" s="210"/>
      <c r="X182" s="176"/>
      <c r="Y182" s="201"/>
    </row>
    <row r="183" spans="1:25" ht="12.75" customHeight="1" x14ac:dyDescent="0.25">
      <c r="A183" s="219"/>
      <c r="B183" s="200" t="s">
        <v>72</v>
      </c>
      <c r="C183" s="200">
        <f>+C180</f>
        <v>2049</v>
      </c>
      <c r="D183" s="200">
        <v>144</v>
      </c>
      <c r="E183" s="200">
        <f t="shared" si="34"/>
        <v>0.18772617043136455</v>
      </c>
      <c r="F183" s="200">
        <f t="shared" si="35"/>
        <v>0.19857511583278045</v>
      </c>
      <c r="G183" s="210"/>
      <c r="H183" s="200"/>
      <c r="I183" s="210"/>
      <c r="J183" s="200"/>
      <c r="K183" s="155"/>
      <c r="L183" s="155"/>
      <c r="M183" s="176">
        <f>IF(SUM(M$40:M182)=K$38,0,IF(SUM(L$40:L183)&lt;$V$13,L183,K$38-SUM(L$40:L182)))</f>
        <v>0</v>
      </c>
      <c r="N183" s="176">
        <f t="shared" si="41"/>
        <v>0</v>
      </c>
      <c r="O183" s="176">
        <f t="shared" si="36"/>
        <v>0</v>
      </c>
      <c r="P183" s="176">
        <f t="shared" si="37"/>
        <v>0</v>
      </c>
      <c r="Q183" s="176">
        <f t="shared" si="38"/>
        <v>0</v>
      </c>
      <c r="R183" s="176">
        <f t="shared" si="39"/>
        <v>0</v>
      </c>
      <c r="S183" s="176">
        <f t="shared" si="40"/>
        <v>0</v>
      </c>
      <c r="T183" s="176">
        <f>IF(SUM(L$40:L182)&lt;V$13,IF(SUM(L$40:L183)&lt;V$13,0,(SUM(L$40:L183)-V$13)),L183)</f>
        <v>0</v>
      </c>
      <c r="U183" s="210"/>
      <c r="V183" s="176"/>
      <c r="W183" s="210"/>
      <c r="X183" s="176"/>
      <c r="Y183" s="201"/>
    </row>
    <row r="184" spans="1:25" ht="12.75" customHeight="1" x14ac:dyDescent="0.25">
      <c r="A184" s="219">
        <v>2050</v>
      </c>
      <c r="B184" s="200" t="s">
        <v>69</v>
      </c>
      <c r="C184" s="200">
        <f>+A184</f>
        <v>2050</v>
      </c>
      <c r="D184" s="200">
        <v>145</v>
      </c>
      <c r="E184" s="200">
        <f t="shared" si="34"/>
        <v>0.18464263837057598</v>
      </c>
      <c r="F184" s="200">
        <f t="shared" si="35"/>
        <v>0.1861409034802966</v>
      </c>
      <c r="G184" s="210"/>
      <c r="H184" s="176">
        <f>+G184*F184</f>
        <v>0</v>
      </c>
      <c r="I184" s="210"/>
      <c r="J184" s="176">
        <f>+I184*F184</f>
        <v>0</v>
      </c>
      <c r="K184" s="155"/>
      <c r="L184" s="155"/>
      <c r="M184" s="176">
        <f>IF(SUM(M$40:M183)=K$38,0,IF(SUM(L$40:L184)&lt;$V$13,L184,K$38-SUM(L$40:L183)))</f>
        <v>0</v>
      </c>
      <c r="N184" s="176">
        <f t="shared" si="41"/>
        <v>0</v>
      </c>
      <c r="O184" s="176">
        <f t="shared" si="36"/>
        <v>0</v>
      </c>
      <c r="P184" s="176">
        <f t="shared" si="37"/>
        <v>0</v>
      </c>
      <c r="Q184" s="176">
        <f t="shared" si="38"/>
        <v>0</v>
      </c>
      <c r="R184" s="176">
        <f t="shared" si="39"/>
        <v>0</v>
      </c>
      <c r="S184" s="176">
        <f t="shared" si="40"/>
        <v>0</v>
      </c>
      <c r="T184" s="176">
        <f>IF(SUM(L$40:L183)&lt;V$13,IF(SUM(L$40:L184)&lt;V$13,0,(SUM(L$40:L184)-V$13)),L184)</f>
        <v>0</v>
      </c>
      <c r="U184" s="210">
        <f>SUM(T184:T187)</f>
        <v>0</v>
      </c>
      <c r="V184" s="176">
        <f>+U184*F184</f>
        <v>0</v>
      </c>
      <c r="W184" s="210"/>
      <c r="X184" s="176">
        <f>+W184*F184</f>
        <v>0</v>
      </c>
      <c r="Y184" s="201"/>
    </row>
    <row r="185" spans="1:25" ht="12.75" customHeight="1" x14ac:dyDescent="0.25">
      <c r="A185" s="219"/>
      <c r="B185" s="200" t="s">
        <v>70</v>
      </c>
      <c r="C185" s="200">
        <f>+C184</f>
        <v>2050</v>
      </c>
      <c r="D185" s="200">
        <v>146</v>
      </c>
      <c r="E185" s="200">
        <f t="shared" si="34"/>
        <v>0.18160975545448607</v>
      </c>
      <c r="F185" s="200">
        <f t="shared" si="35"/>
        <v>0.1861409034802966</v>
      </c>
      <c r="G185" s="210"/>
      <c r="H185" s="200"/>
      <c r="I185" s="210"/>
      <c r="J185" s="200"/>
      <c r="K185" s="155"/>
      <c r="L185" s="155"/>
      <c r="M185" s="176">
        <f>IF(SUM(M$40:M184)=K$38,0,IF(SUM(L$40:L185)&lt;$V$13,L185,K$38-SUM(L$40:L184)))</f>
        <v>0</v>
      </c>
      <c r="N185" s="176">
        <f t="shared" si="41"/>
        <v>0</v>
      </c>
      <c r="O185" s="176">
        <f t="shared" si="36"/>
        <v>0</v>
      </c>
      <c r="P185" s="176">
        <f t="shared" si="37"/>
        <v>0</v>
      </c>
      <c r="Q185" s="176">
        <f t="shared" si="38"/>
        <v>0</v>
      </c>
      <c r="R185" s="176">
        <f t="shared" si="39"/>
        <v>0</v>
      </c>
      <c r="S185" s="176">
        <f t="shared" si="40"/>
        <v>0</v>
      </c>
      <c r="T185" s="176">
        <f>IF(SUM(L$40:L184)&lt;V$13,IF(SUM(L$40:L185)&lt;V$13,0,(SUM(L$40:L185)-V$13)),L185)</f>
        <v>0</v>
      </c>
      <c r="U185" s="210"/>
      <c r="V185" s="176"/>
      <c r="W185" s="210"/>
      <c r="X185" s="176"/>
      <c r="Y185" s="201"/>
    </row>
    <row r="186" spans="1:25" ht="12.75" customHeight="1" x14ac:dyDescent="0.25">
      <c r="A186" s="219"/>
      <c r="B186" s="200" t="s">
        <v>71</v>
      </c>
      <c r="C186" s="200">
        <f>+C184</f>
        <v>2050</v>
      </c>
      <c r="D186" s="200">
        <v>147</v>
      </c>
      <c r="E186" s="200">
        <f t="shared" si="34"/>
        <v>0.17862668973589663</v>
      </c>
      <c r="F186" s="200">
        <f t="shared" si="35"/>
        <v>0.1861409034802966</v>
      </c>
      <c r="G186" s="210"/>
      <c r="H186" s="200"/>
      <c r="I186" s="210"/>
      <c r="J186" s="200"/>
      <c r="K186" s="155"/>
      <c r="L186" s="155"/>
      <c r="M186" s="176">
        <f>IF(SUM(M$40:M185)=K$38,0,IF(SUM(L$40:L186)&lt;$V$13,L186,K$38-SUM(L$40:L185)))</f>
        <v>0</v>
      </c>
      <c r="N186" s="176">
        <f t="shared" si="41"/>
        <v>0</v>
      </c>
      <c r="O186" s="176">
        <f t="shared" si="36"/>
        <v>0</v>
      </c>
      <c r="P186" s="176">
        <f t="shared" si="37"/>
        <v>0</v>
      </c>
      <c r="Q186" s="176">
        <f t="shared" si="38"/>
        <v>0</v>
      </c>
      <c r="R186" s="176">
        <f t="shared" si="39"/>
        <v>0</v>
      </c>
      <c r="S186" s="176">
        <f t="shared" si="40"/>
        <v>0</v>
      </c>
      <c r="T186" s="176">
        <f>IF(SUM(L$40:L185)&lt;V$13,IF(SUM(L$40:L186)&lt;V$13,0,(SUM(L$40:L186)-V$13)),L186)</f>
        <v>0</v>
      </c>
      <c r="U186" s="210"/>
      <c r="V186" s="176"/>
      <c r="W186" s="210"/>
      <c r="X186" s="176"/>
      <c r="Y186" s="201"/>
    </row>
    <row r="187" spans="1:25" ht="12.75" customHeight="1" x14ac:dyDescent="0.25">
      <c r="A187" s="219"/>
      <c r="B187" s="200" t="s">
        <v>72</v>
      </c>
      <c r="C187" s="200">
        <f>+C184</f>
        <v>2050</v>
      </c>
      <c r="D187" s="200">
        <v>148</v>
      </c>
      <c r="E187" s="200">
        <f t="shared" si="34"/>
        <v>0.1756926229329169</v>
      </c>
      <c r="F187" s="200">
        <f t="shared" si="35"/>
        <v>0.1861409034802966</v>
      </c>
      <c r="G187" s="210"/>
      <c r="H187" s="200"/>
      <c r="I187" s="210"/>
      <c r="J187" s="200"/>
      <c r="K187" s="155"/>
      <c r="L187" s="155"/>
      <c r="M187" s="176">
        <f>IF(SUM(M$40:M186)=K$38,0,IF(SUM(L$40:L187)&lt;$V$13,L187,K$38-SUM(L$40:L186)))</f>
        <v>0</v>
      </c>
      <c r="N187" s="176">
        <f t="shared" si="41"/>
        <v>0</v>
      </c>
      <c r="O187" s="176">
        <f t="shared" si="36"/>
        <v>0</v>
      </c>
      <c r="P187" s="176">
        <f t="shared" si="37"/>
        <v>0</v>
      </c>
      <c r="Q187" s="176">
        <f t="shared" si="38"/>
        <v>0</v>
      </c>
      <c r="R187" s="176">
        <f t="shared" si="39"/>
        <v>0</v>
      </c>
      <c r="S187" s="176">
        <f t="shared" si="40"/>
        <v>0</v>
      </c>
      <c r="T187" s="176">
        <f>IF(SUM(L$40:L186)&lt;V$13,IF(SUM(L$40:L187)&lt;V$13,0,(SUM(L$40:L187)-V$13)),L187)</f>
        <v>0</v>
      </c>
      <c r="U187" s="210"/>
      <c r="V187" s="176"/>
      <c r="W187" s="210"/>
      <c r="X187" s="176"/>
      <c r="Y187" s="201"/>
    </row>
    <row r="188" spans="1:25" ht="12.75" customHeight="1" x14ac:dyDescent="0.25">
      <c r="A188" s="219">
        <v>2051</v>
      </c>
      <c r="B188" s="200" t="s">
        <v>69</v>
      </c>
      <c r="C188" s="200">
        <f t="shared" ref="C188" si="42">+A188</f>
        <v>2051</v>
      </c>
      <c r="D188" s="200">
        <v>149</v>
      </c>
      <c r="E188" s="200">
        <f t="shared" ref="E188:E195" si="43">IF(D188&lt;$B$14,1,(1/(1+$K$17/4)^(D188-$B$14+1)))</f>
        <v>0.17280675020450176</v>
      </c>
      <c r="F188" s="200">
        <f t="shared" ref="F188:F195" si="44">IF(C188&lt;($B$12+1),1,(1/(1+$K$17)^(C188-$B$12)))</f>
        <v>0.1744852863519841</v>
      </c>
      <c r="G188" s="210"/>
      <c r="H188" s="176">
        <f t="shared" ref="H188" si="45">+G188*F188</f>
        <v>0</v>
      </c>
      <c r="I188" s="210"/>
      <c r="J188" s="176">
        <f t="shared" ref="J188" si="46">+I188*F188</f>
        <v>0</v>
      </c>
      <c r="K188" s="155"/>
      <c r="L188" s="155"/>
      <c r="M188" s="176">
        <f>IF(SUM(M$40:M187)=K$38,0,IF(SUM(L$40:L188)&lt;$V$13,L188,K$38-SUM(L$40:L187)))</f>
        <v>0</v>
      </c>
      <c r="N188" s="176">
        <f t="shared" ref="N188:N195" si="47">+N187+K188-M187</f>
        <v>0</v>
      </c>
      <c r="O188" s="176">
        <f t="shared" ref="O188:O195" si="48">+N188*($K$21/4)</f>
        <v>0</v>
      </c>
      <c r="P188" s="176">
        <f t="shared" ref="P188:P195" si="49">+N188*($K$20/4)</f>
        <v>0</v>
      </c>
      <c r="Q188" s="176">
        <f t="shared" ref="Q188:Q195" si="50">+P188-O188</f>
        <v>0</v>
      </c>
      <c r="R188" s="176">
        <f t="shared" ref="R188:R195" si="51">+Q188*E188</f>
        <v>0</v>
      </c>
      <c r="S188" s="176">
        <f t="shared" ref="S188:S195" si="52">+L188-T188</f>
        <v>0</v>
      </c>
      <c r="T188" s="176">
        <f>IF(SUM(L$40:L187)&lt;V$13,IF(SUM(L$40:L188)&lt;V$13,0,(SUM(L$40:L188)-V$13)),L188)</f>
        <v>0</v>
      </c>
      <c r="U188" s="210">
        <f t="shared" ref="U188" si="53">SUM(T188:T191)</f>
        <v>0</v>
      </c>
      <c r="V188" s="176">
        <f t="shared" ref="V188" si="54">+U188*F188</f>
        <v>0</v>
      </c>
      <c r="W188" s="210"/>
      <c r="X188" s="176">
        <f t="shared" ref="X188" si="55">+W188*F188</f>
        <v>0</v>
      </c>
    </row>
    <row r="189" spans="1:25" ht="12.75" customHeight="1" x14ac:dyDescent="0.25">
      <c r="A189" s="219"/>
      <c r="B189" s="200" t="s">
        <v>70</v>
      </c>
      <c r="C189" s="200">
        <f t="shared" ref="C189" si="56">+C188</f>
        <v>2051</v>
      </c>
      <c r="D189" s="200">
        <v>150</v>
      </c>
      <c r="E189" s="200">
        <f t="shared" si="43"/>
        <v>0.16996827992967617</v>
      </c>
      <c r="F189" s="200">
        <f t="shared" si="44"/>
        <v>0.1744852863519841</v>
      </c>
      <c r="G189" s="210"/>
      <c r="H189" s="200"/>
      <c r="I189" s="210"/>
      <c r="J189" s="200"/>
      <c r="K189" s="155"/>
      <c r="L189" s="155"/>
      <c r="M189" s="176">
        <f>IF(SUM(M$40:M188)=K$38,0,IF(SUM(L$40:L189)&lt;$V$13,L189,K$38-SUM(L$40:L188)))</f>
        <v>0</v>
      </c>
      <c r="N189" s="176">
        <f t="shared" si="47"/>
        <v>0</v>
      </c>
      <c r="O189" s="176">
        <f t="shared" si="48"/>
        <v>0</v>
      </c>
      <c r="P189" s="176">
        <f t="shared" si="49"/>
        <v>0</v>
      </c>
      <c r="Q189" s="176">
        <f t="shared" si="50"/>
        <v>0</v>
      </c>
      <c r="R189" s="176">
        <f t="shared" si="51"/>
        <v>0</v>
      </c>
      <c r="S189" s="176">
        <f t="shared" si="52"/>
        <v>0</v>
      </c>
      <c r="T189" s="176">
        <f>IF(SUM(L$40:L188)&lt;V$13,IF(SUM(L$40:L189)&lt;V$13,0,(SUM(L$40:L189)-V$13)),L189)</f>
        <v>0</v>
      </c>
      <c r="U189" s="210"/>
      <c r="V189" s="176"/>
      <c r="W189" s="210"/>
      <c r="X189" s="176"/>
    </row>
    <row r="190" spans="1:25" ht="12.75" customHeight="1" x14ac:dyDescent="0.25">
      <c r="A190" s="219"/>
      <c r="B190" s="200" t="s">
        <v>71</v>
      </c>
      <c r="C190" s="200">
        <f t="shared" ref="C190" si="57">+C188</f>
        <v>2051</v>
      </c>
      <c r="D190" s="200">
        <v>151</v>
      </c>
      <c r="E190" s="200">
        <f t="shared" si="43"/>
        <v>0.16717643349038674</v>
      </c>
      <c r="F190" s="200">
        <f t="shared" si="44"/>
        <v>0.1744852863519841</v>
      </c>
      <c r="G190" s="210"/>
      <c r="H190" s="200"/>
      <c r="I190" s="210"/>
      <c r="J190" s="200"/>
      <c r="K190" s="155"/>
      <c r="L190" s="155"/>
      <c r="M190" s="176">
        <f>IF(SUM(M$40:M189)=K$38,0,IF(SUM(L$40:L190)&lt;$V$13,L190,K$38-SUM(L$40:L189)))</f>
        <v>0</v>
      </c>
      <c r="N190" s="176">
        <f t="shared" si="47"/>
        <v>0</v>
      </c>
      <c r="O190" s="176">
        <f t="shared" si="48"/>
        <v>0</v>
      </c>
      <c r="P190" s="176">
        <f t="shared" si="49"/>
        <v>0</v>
      </c>
      <c r="Q190" s="176">
        <f t="shared" si="50"/>
        <v>0</v>
      </c>
      <c r="R190" s="176">
        <f t="shared" si="51"/>
        <v>0</v>
      </c>
      <c r="S190" s="176">
        <f t="shared" si="52"/>
        <v>0</v>
      </c>
      <c r="T190" s="176">
        <f>IF(SUM(L$40:L189)&lt;V$13,IF(SUM(L$40:L190)&lt;V$13,0,(SUM(L$40:L190)-V$13)),L190)</f>
        <v>0</v>
      </c>
      <c r="U190" s="210"/>
      <c r="V190" s="176"/>
      <c r="W190" s="210"/>
      <c r="X190" s="176"/>
    </row>
    <row r="191" spans="1:25" ht="12.75" customHeight="1" x14ac:dyDescent="0.25">
      <c r="A191" s="219"/>
      <c r="B191" s="200" t="s">
        <v>72</v>
      </c>
      <c r="C191" s="200">
        <f t="shared" ref="C191" si="58">+C188</f>
        <v>2051</v>
      </c>
      <c r="D191" s="200">
        <v>152</v>
      </c>
      <c r="E191" s="200">
        <f t="shared" si="43"/>
        <v>0.16443044505791946</v>
      </c>
      <c r="F191" s="200">
        <f t="shared" si="44"/>
        <v>0.1744852863519841</v>
      </c>
      <c r="G191" s="210"/>
      <c r="H191" s="200"/>
      <c r="I191" s="210"/>
      <c r="J191" s="200"/>
      <c r="K191" s="155"/>
      <c r="L191" s="155"/>
      <c r="M191" s="176">
        <f>IF(SUM(M$40:M190)=K$38,0,IF(SUM(L$40:L191)&lt;$V$13,L191,K$38-SUM(L$40:L190)))</f>
        <v>0</v>
      </c>
      <c r="N191" s="176">
        <f t="shared" si="47"/>
        <v>0</v>
      </c>
      <c r="O191" s="176">
        <f t="shared" si="48"/>
        <v>0</v>
      </c>
      <c r="P191" s="176">
        <f t="shared" si="49"/>
        <v>0</v>
      </c>
      <c r="Q191" s="176">
        <f t="shared" si="50"/>
        <v>0</v>
      </c>
      <c r="R191" s="176">
        <f t="shared" si="51"/>
        <v>0</v>
      </c>
      <c r="S191" s="176">
        <f t="shared" si="52"/>
        <v>0</v>
      </c>
      <c r="T191" s="176">
        <f>IF(SUM(L$40:L190)&lt;V$13,IF(SUM(L$40:L191)&lt;V$13,0,(SUM(L$40:L191)-V$13)),L191)</f>
        <v>0</v>
      </c>
      <c r="U191" s="210"/>
      <c r="V191" s="176"/>
      <c r="W191" s="210"/>
      <c r="X191" s="176"/>
    </row>
    <row r="192" spans="1:25" ht="12.75" customHeight="1" x14ac:dyDescent="0.25">
      <c r="A192" s="219">
        <v>2052</v>
      </c>
      <c r="B192" s="200" t="s">
        <v>69</v>
      </c>
      <c r="C192" s="200">
        <f t="shared" ref="C192" si="59">+A192</f>
        <v>2052</v>
      </c>
      <c r="D192" s="200">
        <v>153</v>
      </c>
      <c r="E192" s="200">
        <f t="shared" si="43"/>
        <v>0.16172956138282632</v>
      </c>
      <c r="F192" s="200">
        <f t="shared" si="44"/>
        <v>0.16355951101610808</v>
      </c>
      <c r="G192" s="210"/>
      <c r="H192" s="176">
        <f t="shared" ref="H192" si="60">+G192*F192</f>
        <v>0</v>
      </c>
      <c r="I192" s="210"/>
      <c r="J192" s="176">
        <f t="shared" ref="J192" si="61">+I192*F192</f>
        <v>0</v>
      </c>
      <c r="K192" s="155"/>
      <c r="L192" s="155"/>
      <c r="M192" s="176">
        <f>IF(SUM(M$40:M191)=K$38,0,IF(SUM(L$40:L192)&lt;$V$13,L192,K$38-SUM(L$40:L191)))</f>
        <v>0</v>
      </c>
      <c r="N192" s="176">
        <f t="shared" si="47"/>
        <v>0</v>
      </c>
      <c r="O192" s="176">
        <f t="shared" si="48"/>
        <v>0</v>
      </c>
      <c r="P192" s="176">
        <f t="shared" si="49"/>
        <v>0</v>
      </c>
      <c r="Q192" s="176">
        <f t="shared" si="50"/>
        <v>0</v>
      </c>
      <c r="R192" s="176">
        <f t="shared" si="51"/>
        <v>0</v>
      </c>
      <c r="S192" s="176">
        <f t="shared" si="52"/>
        <v>0</v>
      </c>
      <c r="T192" s="176">
        <f>IF(SUM(L$40:L191)&lt;V$13,IF(SUM(L$40:L192)&lt;V$13,0,(SUM(L$40:L192)-V$13)),L192)</f>
        <v>0</v>
      </c>
      <c r="U192" s="210">
        <f t="shared" ref="U192" si="62">SUM(T192:T195)</f>
        <v>0</v>
      </c>
      <c r="V192" s="176">
        <f t="shared" ref="V192" si="63">+U192*F192</f>
        <v>0</v>
      </c>
      <c r="W192" s="210"/>
      <c r="X192" s="176">
        <f t="shared" ref="X192" si="64">+W192*F192</f>
        <v>0</v>
      </c>
    </row>
    <row r="193" spans="1:24" ht="12.75" customHeight="1" x14ac:dyDescent="0.25">
      <c r="A193" s="219"/>
      <c r="B193" s="200" t="s">
        <v>70</v>
      </c>
      <c r="C193" s="200">
        <f t="shared" ref="C193" si="65">+C192</f>
        <v>2052</v>
      </c>
      <c r="D193" s="200">
        <v>154</v>
      </c>
      <c r="E193" s="200">
        <f t="shared" si="43"/>
        <v>0.15907304158830168</v>
      </c>
      <c r="F193" s="200">
        <f t="shared" si="44"/>
        <v>0.16355951101610808</v>
      </c>
      <c r="G193" s="210"/>
      <c r="H193" s="200"/>
      <c r="I193" s="210"/>
      <c r="J193" s="200"/>
      <c r="K193" s="155"/>
      <c r="L193" s="155"/>
      <c r="M193" s="176">
        <f>IF(SUM(M$40:M192)=K$38,0,IF(SUM(L$40:L193)&lt;$V$13,L193,K$38-SUM(L$40:L192)))</f>
        <v>0</v>
      </c>
      <c r="N193" s="176">
        <f t="shared" si="47"/>
        <v>0</v>
      </c>
      <c r="O193" s="176">
        <f t="shared" si="48"/>
        <v>0</v>
      </c>
      <c r="P193" s="176">
        <f t="shared" si="49"/>
        <v>0</v>
      </c>
      <c r="Q193" s="176">
        <f t="shared" si="50"/>
        <v>0</v>
      </c>
      <c r="R193" s="176">
        <f t="shared" si="51"/>
        <v>0</v>
      </c>
      <c r="S193" s="176">
        <f t="shared" si="52"/>
        <v>0</v>
      </c>
      <c r="T193" s="176">
        <f>IF(SUM(L$40:L192)&lt;V$13,IF(SUM(L$40:L193)&lt;V$13,0,(SUM(L$40:L193)-V$13)),L193)</f>
        <v>0</v>
      </c>
      <c r="U193" s="210"/>
      <c r="V193" s="176"/>
      <c r="W193" s="210"/>
      <c r="X193" s="176"/>
    </row>
    <row r="194" spans="1:24" ht="12.75" customHeight="1" x14ac:dyDescent="0.25">
      <c r="A194" s="219"/>
      <c r="B194" s="200" t="s">
        <v>71</v>
      </c>
      <c r="C194" s="200">
        <f t="shared" ref="C194" si="66">+C192</f>
        <v>2052</v>
      </c>
      <c r="D194" s="200">
        <v>155</v>
      </c>
      <c r="E194" s="200">
        <f t="shared" si="43"/>
        <v>0.15646015696695359</v>
      </c>
      <c r="F194" s="200">
        <f t="shared" si="44"/>
        <v>0.16355951101610808</v>
      </c>
      <c r="G194" s="210"/>
      <c r="H194" s="200"/>
      <c r="I194" s="210"/>
      <c r="J194" s="200"/>
      <c r="K194" s="155"/>
      <c r="L194" s="155"/>
      <c r="M194" s="176">
        <f>IF(SUM(M$40:M193)=K$38,0,IF(SUM(L$40:L194)&lt;$V$13,L194,K$38-SUM(L$40:L193)))</f>
        <v>0</v>
      </c>
      <c r="N194" s="176">
        <f t="shared" si="47"/>
        <v>0</v>
      </c>
      <c r="O194" s="176">
        <f t="shared" si="48"/>
        <v>0</v>
      </c>
      <c r="P194" s="176">
        <f t="shared" si="49"/>
        <v>0</v>
      </c>
      <c r="Q194" s="176">
        <f t="shared" si="50"/>
        <v>0</v>
      </c>
      <c r="R194" s="176">
        <f t="shared" si="51"/>
        <v>0</v>
      </c>
      <c r="S194" s="176">
        <f t="shared" si="52"/>
        <v>0</v>
      </c>
      <c r="T194" s="176">
        <f>IF(SUM(L$40:L193)&lt;V$13,IF(SUM(L$40:L194)&lt;V$13,0,(SUM(L$40:L194)-V$13)),L194)</f>
        <v>0</v>
      </c>
      <c r="U194" s="210"/>
      <c r="V194" s="176"/>
      <c r="W194" s="210"/>
      <c r="X194" s="176"/>
    </row>
    <row r="195" spans="1:24" ht="12.75" customHeight="1" x14ac:dyDescent="0.25">
      <c r="A195" s="219"/>
      <c r="B195" s="200" t="s">
        <v>72</v>
      </c>
      <c r="C195" s="200">
        <f t="shared" ref="C195" si="67">+C192</f>
        <v>2052</v>
      </c>
      <c r="D195" s="200">
        <v>156</v>
      </c>
      <c r="E195" s="200">
        <f t="shared" si="43"/>
        <v>0.15389019078091237</v>
      </c>
      <c r="F195" s="200">
        <f t="shared" si="44"/>
        <v>0.16355951101610808</v>
      </c>
      <c r="G195" s="210"/>
      <c r="H195" s="200"/>
      <c r="I195" s="210"/>
      <c r="J195" s="200"/>
      <c r="K195" s="155"/>
      <c r="L195" s="155"/>
      <c r="M195" s="176">
        <f>IF(SUM(M$40:M194)=K$38,0,IF(SUM(L$40:L195)&lt;$V$13,L195,K$38-SUM(L$40:L194)))</f>
        <v>0</v>
      </c>
      <c r="N195" s="176">
        <f t="shared" si="47"/>
        <v>0</v>
      </c>
      <c r="O195" s="176">
        <f t="shared" si="48"/>
        <v>0</v>
      </c>
      <c r="P195" s="176">
        <f t="shared" si="49"/>
        <v>0</v>
      </c>
      <c r="Q195" s="176">
        <f t="shared" si="50"/>
        <v>0</v>
      </c>
      <c r="R195" s="176">
        <f t="shared" si="51"/>
        <v>0</v>
      </c>
      <c r="S195" s="176">
        <f t="shared" si="52"/>
        <v>0</v>
      </c>
      <c r="T195" s="176">
        <f>IF(SUM(L$40:L194)&lt;V$13,IF(SUM(L$40:L195)&lt;V$13,0,(SUM(L$40:L195)-V$13)),L195)</f>
        <v>0</v>
      </c>
      <c r="U195" s="210"/>
      <c r="V195" s="176"/>
      <c r="W195" s="210"/>
      <c r="X195" s="176"/>
    </row>
  </sheetData>
  <sheetProtection algorithmName="SHA-512" hashValue="XbSLF9njqAZs/HEsXc2HRWzOOyjOFLkBbLq90wGwInjYy4y+AvY53kX/IoBKuh7Ei55h6LdHZ0GkaqBzS3kIIw==" saltValue="KrJwwyhGnPuzpddLahBwsg==" spinCount="100000" sheet="1" objects="1" scenarios="1"/>
  <mergeCells count="265">
    <mergeCell ref="A1:AA1"/>
    <mergeCell ref="A188:A191"/>
    <mergeCell ref="G188:G191"/>
    <mergeCell ref="I188:I191"/>
    <mergeCell ref="U188:U191"/>
    <mergeCell ref="W188:W191"/>
    <mergeCell ref="A192:A195"/>
    <mergeCell ref="G192:G195"/>
    <mergeCell ref="I192:I195"/>
    <mergeCell ref="U192:U195"/>
    <mergeCell ref="W192:W195"/>
    <mergeCell ref="Z95:Z96"/>
    <mergeCell ref="AA95:AA96"/>
    <mergeCell ref="Z87:Z88"/>
    <mergeCell ref="AA87:AA88"/>
    <mergeCell ref="Z89:Z90"/>
    <mergeCell ref="AA89:AA90"/>
    <mergeCell ref="AA91:AA92"/>
    <mergeCell ref="U48:U51"/>
    <mergeCell ref="U44:U47"/>
    <mergeCell ref="W112:W115"/>
    <mergeCell ref="U56:U59"/>
    <mergeCell ref="U60:U63"/>
    <mergeCell ref="U80:U83"/>
    <mergeCell ref="W56:W59"/>
    <mergeCell ref="AL84:AL85"/>
    <mergeCell ref="AM84:AM85"/>
    <mergeCell ref="AN84:AN85"/>
    <mergeCell ref="AB93:AC93"/>
    <mergeCell ref="AL82:AM82"/>
    <mergeCell ref="AN82:AN83"/>
    <mergeCell ref="AD93:AE93"/>
    <mergeCell ref="AF95:AF96"/>
    <mergeCell ref="AD95:AD96"/>
    <mergeCell ref="AE95:AE96"/>
    <mergeCell ref="AI95:AK96"/>
    <mergeCell ref="AF93:AF94"/>
    <mergeCell ref="AG93:AH94"/>
    <mergeCell ref="AG95:AH96"/>
    <mergeCell ref="AG89:AH90"/>
    <mergeCell ref="AF91:AF92"/>
    <mergeCell ref="AB95:AB96"/>
    <mergeCell ref="AC95:AC96"/>
    <mergeCell ref="AG91:AG92"/>
    <mergeCell ref="AB87:AC87"/>
    <mergeCell ref="AD87:AE87"/>
    <mergeCell ref="AF87:AF88"/>
    <mergeCell ref="AB89:AB90"/>
    <mergeCell ref="W60:W63"/>
    <mergeCell ref="W64:W67"/>
    <mergeCell ref="W68:W71"/>
    <mergeCell ref="AF98:AI98"/>
    <mergeCell ref="AF99:AI99"/>
    <mergeCell ref="AF100:AI100"/>
    <mergeCell ref="U104:U107"/>
    <mergeCell ref="U108:U111"/>
    <mergeCell ref="U84:U87"/>
    <mergeCell ref="U72:U75"/>
    <mergeCell ref="U76:U79"/>
    <mergeCell ref="W88:W91"/>
    <mergeCell ref="W92:W95"/>
    <mergeCell ref="AD89:AD90"/>
    <mergeCell ref="AE89:AE90"/>
    <mergeCell ref="AF89:AF90"/>
    <mergeCell ref="Z93:Z94"/>
    <mergeCell ref="AA93:AA94"/>
    <mergeCell ref="AC91:AC92"/>
    <mergeCell ref="AB91:AB92"/>
    <mergeCell ref="AD91:AD92"/>
    <mergeCell ref="AC89:AC90"/>
    <mergeCell ref="U52:U55"/>
    <mergeCell ref="AE91:AE92"/>
    <mergeCell ref="A52:A55"/>
    <mergeCell ref="Z10:AB10"/>
    <mergeCell ref="Z11:AB11"/>
    <mergeCell ref="K26:K27"/>
    <mergeCell ref="L26:L27"/>
    <mergeCell ref="W40:W43"/>
    <mergeCell ref="W44:W47"/>
    <mergeCell ref="W48:W51"/>
    <mergeCell ref="W52:W55"/>
    <mergeCell ref="U40:U43"/>
    <mergeCell ref="A29:B29"/>
    <mergeCell ref="A30:B30"/>
    <mergeCell ref="A31:B31"/>
    <mergeCell ref="A28:B28"/>
    <mergeCell ref="A38:B38"/>
    <mergeCell ref="A32:B32"/>
    <mergeCell ref="G88:G91"/>
    <mergeCell ref="W72:W75"/>
    <mergeCell ref="W76:W79"/>
    <mergeCell ref="U92:U95"/>
    <mergeCell ref="U64:U67"/>
    <mergeCell ref="U68:U71"/>
    <mergeCell ref="A96:A99"/>
    <mergeCell ref="A15:B15"/>
    <mergeCell ref="A16:B16"/>
    <mergeCell ref="A17:B17"/>
    <mergeCell ref="A19:B19"/>
    <mergeCell ref="A80:A83"/>
    <mergeCell ref="A20:B20"/>
    <mergeCell ref="I56:I59"/>
    <mergeCell ref="G60:G63"/>
    <mergeCell ref="G56:G59"/>
    <mergeCell ref="A22:B22"/>
    <mergeCell ref="G40:G43"/>
    <mergeCell ref="G44:G47"/>
    <mergeCell ref="G48:G51"/>
    <mergeCell ref="G52:G55"/>
    <mergeCell ref="A64:A67"/>
    <mergeCell ref="A68:A71"/>
    <mergeCell ref="A21:B21"/>
    <mergeCell ref="A23:B23"/>
    <mergeCell ref="I40:I43"/>
    <mergeCell ref="I44:I47"/>
    <mergeCell ref="I48:I51"/>
    <mergeCell ref="I52:I55"/>
    <mergeCell ref="A48:A51"/>
    <mergeCell ref="A18:B18"/>
    <mergeCell ref="A40:A43"/>
    <mergeCell ref="A44:A47"/>
    <mergeCell ref="I60:I63"/>
    <mergeCell ref="I64:I67"/>
    <mergeCell ref="I88:I91"/>
    <mergeCell ref="I72:I75"/>
    <mergeCell ref="I92:I95"/>
    <mergeCell ref="G92:G95"/>
    <mergeCell ref="A56:A59"/>
    <mergeCell ref="A84:A87"/>
    <mergeCell ref="G64:G67"/>
    <mergeCell ref="G68:G71"/>
    <mergeCell ref="A72:A75"/>
    <mergeCell ref="A76:A79"/>
    <mergeCell ref="G72:G75"/>
    <mergeCell ref="G76:G79"/>
    <mergeCell ref="G80:G83"/>
    <mergeCell ref="A60:A63"/>
    <mergeCell ref="G84:G87"/>
    <mergeCell ref="A88:A91"/>
    <mergeCell ref="A92:A95"/>
    <mergeCell ref="I68:I71"/>
    <mergeCell ref="G96:G99"/>
    <mergeCell ref="G104:G107"/>
    <mergeCell ref="G108:G111"/>
    <mergeCell ref="W116:W119"/>
    <mergeCell ref="I76:I79"/>
    <mergeCell ref="I80:I83"/>
    <mergeCell ref="I84:I87"/>
    <mergeCell ref="W124:W127"/>
    <mergeCell ref="W104:W107"/>
    <mergeCell ref="U112:U115"/>
    <mergeCell ref="G112:G115"/>
    <mergeCell ref="G116:G119"/>
    <mergeCell ref="I116:I119"/>
    <mergeCell ref="I100:I103"/>
    <mergeCell ref="I104:I107"/>
    <mergeCell ref="G100:G103"/>
    <mergeCell ref="U88:U91"/>
    <mergeCell ref="W80:W83"/>
    <mergeCell ref="W84:W87"/>
    <mergeCell ref="W108:W111"/>
    <mergeCell ref="U116:U119"/>
    <mergeCell ref="I124:I127"/>
    <mergeCell ref="U124:U127"/>
    <mergeCell ref="W96:W99"/>
    <mergeCell ref="W100:W103"/>
    <mergeCell ref="I96:I99"/>
    <mergeCell ref="U96:U99"/>
    <mergeCell ref="U100:U103"/>
    <mergeCell ref="U120:U123"/>
    <mergeCell ref="A116:A119"/>
    <mergeCell ref="G120:G123"/>
    <mergeCell ref="I120:I123"/>
    <mergeCell ref="G124:G127"/>
    <mergeCell ref="A112:A115"/>
    <mergeCell ref="A100:A103"/>
    <mergeCell ref="A104:A107"/>
    <mergeCell ref="A108:A111"/>
    <mergeCell ref="I108:I111"/>
    <mergeCell ref="A144:A147"/>
    <mergeCell ref="G144:G147"/>
    <mergeCell ref="I144:I147"/>
    <mergeCell ref="U144:U147"/>
    <mergeCell ref="W144:W147"/>
    <mergeCell ref="W128:W131"/>
    <mergeCell ref="W120:W123"/>
    <mergeCell ref="I112:I115"/>
    <mergeCell ref="G128:G131"/>
    <mergeCell ref="I128:I131"/>
    <mergeCell ref="U128:U131"/>
    <mergeCell ref="W132:W135"/>
    <mergeCell ref="A136:A139"/>
    <mergeCell ref="G136:G139"/>
    <mergeCell ref="I136:I139"/>
    <mergeCell ref="U136:U139"/>
    <mergeCell ref="W136:W139"/>
    <mergeCell ref="A120:A123"/>
    <mergeCell ref="A124:A127"/>
    <mergeCell ref="A132:A135"/>
    <mergeCell ref="G132:G135"/>
    <mergeCell ref="I132:I135"/>
    <mergeCell ref="U132:U135"/>
    <mergeCell ref="A128:A131"/>
    <mergeCell ref="W172:W175"/>
    <mergeCell ref="A176:A179"/>
    <mergeCell ref="G176:G179"/>
    <mergeCell ref="I176:I179"/>
    <mergeCell ref="U176:U179"/>
    <mergeCell ref="W176:W179"/>
    <mergeCell ref="A156:A159"/>
    <mergeCell ref="G156:G159"/>
    <mergeCell ref="I156:I159"/>
    <mergeCell ref="U156:U159"/>
    <mergeCell ref="W156:W159"/>
    <mergeCell ref="A160:A163"/>
    <mergeCell ref="G160:G163"/>
    <mergeCell ref="I160:I163"/>
    <mergeCell ref="A184:A187"/>
    <mergeCell ref="G184:G187"/>
    <mergeCell ref="I184:I187"/>
    <mergeCell ref="U184:U187"/>
    <mergeCell ref="W184:W187"/>
    <mergeCell ref="A164:A167"/>
    <mergeCell ref="G164:G167"/>
    <mergeCell ref="I164:I167"/>
    <mergeCell ref="U164:U167"/>
    <mergeCell ref="W164:W167"/>
    <mergeCell ref="A168:A171"/>
    <mergeCell ref="G168:G171"/>
    <mergeCell ref="I168:I171"/>
    <mergeCell ref="U168:U171"/>
    <mergeCell ref="W168:W171"/>
    <mergeCell ref="A180:A183"/>
    <mergeCell ref="G180:G183"/>
    <mergeCell ref="I180:I183"/>
    <mergeCell ref="U180:U183"/>
    <mergeCell ref="W180:W183"/>
    <mergeCell ref="A172:A175"/>
    <mergeCell ref="G172:G175"/>
    <mergeCell ref="I172:I175"/>
    <mergeCell ref="U172:U175"/>
    <mergeCell ref="U160:U163"/>
    <mergeCell ref="W160:W163"/>
    <mergeCell ref="A3:B3"/>
    <mergeCell ref="C3:I3"/>
    <mergeCell ref="A5:B5"/>
    <mergeCell ref="C5:I5"/>
    <mergeCell ref="A7:B7"/>
    <mergeCell ref="K3:AA3"/>
    <mergeCell ref="K5:AA5"/>
    <mergeCell ref="A148:A151"/>
    <mergeCell ref="G148:G151"/>
    <mergeCell ref="I148:I151"/>
    <mergeCell ref="U148:U151"/>
    <mergeCell ref="W148:W151"/>
    <mergeCell ref="A152:A155"/>
    <mergeCell ref="G152:G155"/>
    <mergeCell ref="I152:I155"/>
    <mergeCell ref="U152:U155"/>
    <mergeCell ref="W152:W155"/>
    <mergeCell ref="A140:A143"/>
    <mergeCell ref="G140:G143"/>
    <mergeCell ref="I140:I143"/>
    <mergeCell ref="U140:U143"/>
    <mergeCell ref="W140:W143"/>
  </mergeCells>
  <conditionalFormatting sqref="K34:K35">
    <cfRule type="containsText" dxfId="21" priority="4" operator="containsText" text="OK">
      <formula>NOT(ISERROR(SEARCH("OK",K34)))</formula>
    </cfRule>
    <cfRule type="containsText" dxfId="20" priority="5" operator="containsText" text="BŁĄD!">
      <formula>NOT(ISERROR(SEARCH("BŁĄD!",K34)))</formula>
    </cfRule>
  </conditionalFormatting>
  <conditionalFormatting sqref="K38">
    <cfRule type="expression" dxfId="19" priority="2">
      <formula>$K$38&lt;&gt;$K$30</formula>
    </cfRule>
  </conditionalFormatting>
  <conditionalFormatting sqref="L38">
    <cfRule type="expression" dxfId="18" priority="1">
      <formula>$L$38&lt;&gt;$K$30</formula>
    </cfRule>
  </conditionalFormatting>
  <dataValidations count="2">
    <dataValidation type="list" allowBlank="1" showInputMessage="1" showErrorMessage="1" sqref="C7" xr:uid="{6EB3B104-23EF-4FA2-9F12-D848093EDFD3}">
      <formula1>$D$56:$D$59</formula1>
    </dataValidation>
    <dataValidation type="list" allowBlank="1" showInputMessage="1" showErrorMessage="1" sqref="K7" xr:uid="{8DC6A67E-7103-4D14-9B63-C61719AC16B6}">
      <formula1>$N$16:$N$19</formula1>
    </dataValidation>
  </dataValidations>
  <pageMargins left="0.75" right="0.75" top="1" bottom="1" header="0.5" footer="0.5"/>
  <pageSetup paperSize="9" orientation="portrait" r:id="rId1"/>
  <headerFooter alignWithMargins="0"/>
  <ignoredErrors>
    <ignoredError sqref="K35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Drop Down 1">
              <controlPr defaultSize="0" autoLine="0" autoPict="0" altText="to jest pole wyboru z następującymi poziomami ratingu do wyboru: 1. wysoki, 2. dobry, 3. zadowalający, 4. niski, 5. zły/trudności finansowe">
                <anchor moveWithCells="1">
                  <from>
                    <xdr:col>2</xdr:col>
                    <xdr:colOff>0</xdr:colOff>
                    <xdr:row>16</xdr:row>
                    <xdr:rowOff>190500</xdr:rowOff>
                  </from>
                  <to>
                    <xdr:col>11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A1:X97"/>
  <sheetViews>
    <sheetView showGridLines="0" zoomScale="90" zoomScaleNormal="90" workbookViewId="0">
      <selection activeCell="I25" sqref="I25"/>
    </sheetView>
  </sheetViews>
  <sheetFormatPr defaultColWidth="9.109375" defaultRowHeight="14.4" x14ac:dyDescent="0.3"/>
  <cols>
    <col min="1" max="1" width="5.6640625" style="98" customWidth="1"/>
    <col min="2" max="2" width="22.33203125" style="98" customWidth="1"/>
    <col min="3" max="3" width="17.33203125" style="98" customWidth="1"/>
    <col min="4" max="4" width="17.6640625" style="98" customWidth="1"/>
    <col min="5" max="5" width="8.5546875" style="98" customWidth="1"/>
    <col min="6" max="9" width="20.44140625" style="98" customWidth="1"/>
    <col min="10" max="10" width="22" style="98" customWidth="1"/>
    <col min="11" max="11" width="20.5546875" style="98" customWidth="1"/>
    <col min="12" max="12" width="28.33203125" style="98" customWidth="1"/>
    <col min="13" max="13" width="14.33203125" style="98" customWidth="1"/>
    <col min="14" max="14" width="18.33203125" style="98" customWidth="1"/>
    <col min="15" max="15" width="13.109375" style="98" customWidth="1"/>
    <col min="16" max="16" width="12.33203125" style="98" customWidth="1"/>
    <col min="17" max="17" width="11.33203125" style="98" customWidth="1"/>
    <col min="18" max="19" width="12.44140625" style="98" customWidth="1"/>
    <col min="20" max="24" width="9.109375" style="98" customWidth="1"/>
    <col min="25" max="16384" width="9.109375" style="98"/>
  </cols>
  <sheetData>
    <row r="1" spans="1:14" s="96" customFormat="1" ht="44.25" customHeight="1" x14ac:dyDescent="0.3">
      <c r="A1" s="241" t="s">
        <v>149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</row>
    <row r="2" spans="1:14" ht="15" customHeight="1" x14ac:dyDescent="0.3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4" s="100" customFormat="1" ht="19.5" customHeight="1" x14ac:dyDescent="0.3">
      <c r="A3" s="211" t="s">
        <v>83</v>
      </c>
      <c r="B3" s="211"/>
      <c r="C3" s="272">
        <f>finansowanie!K3</f>
        <v>0</v>
      </c>
      <c r="D3" s="273"/>
      <c r="E3" s="273"/>
      <c r="F3" s="273"/>
      <c r="G3" s="273"/>
      <c r="H3" s="273"/>
      <c r="I3" s="274"/>
    </row>
    <row r="4" spans="1:14" s="100" customFormat="1" ht="9.75" customHeight="1" x14ac:dyDescent="0.3">
      <c r="A4" s="101"/>
      <c r="B4" s="101"/>
      <c r="C4" s="101"/>
      <c r="D4" s="102"/>
      <c r="E4" s="102"/>
      <c r="F4" s="102"/>
      <c r="G4" s="102"/>
      <c r="H4" s="102"/>
      <c r="I4" s="102"/>
    </row>
    <row r="5" spans="1:14" s="100" customFormat="1" ht="26.25" customHeight="1" x14ac:dyDescent="0.25">
      <c r="A5" s="211" t="s">
        <v>79</v>
      </c>
      <c r="B5" s="211"/>
      <c r="C5" s="249">
        <f>finansowanie!K5</f>
        <v>0</v>
      </c>
      <c r="D5" s="250"/>
      <c r="E5" s="250"/>
      <c r="F5" s="250"/>
      <c r="G5" s="250"/>
      <c r="H5" s="250"/>
      <c r="I5" s="251"/>
      <c r="J5" s="97"/>
    </row>
    <row r="6" spans="1:14" s="100" customFormat="1" ht="11.25" customHeight="1" x14ac:dyDescent="0.3">
      <c r="A6" s="101"/>
      <c r="B6" s="101"/>
      <c r="C6" s="101"/>
      <c r="D6" s="102"/>
      <c r="E6" s="102"/>
      <c r="F6" s="102"/>
      <c r="G6" s="102"/>
      <c r="H6" s="102"/>
      <c r="I6" s="102"/>
    </row>
    <row r="7" spans="1:14" s="100" customFormat="1" ht="21.75" hidden="1" customHeight="1" x14ac:dyDescent="0.3">
      <c r="A7" s="211" t="s">
        <v>80</v>
      </c>
      <c r="B7" s="211"/>
      <c r="C7" s="275"/>
      <c r="D7" s="275"/>
      <c r="E7" s="275"/>
      <c r="F7" s="275"/>
      <c r="G7" s="275"/>
      <c r="H7" s="275"/>
      <c r="I7" s="275"/>
      <c r="J7" s="275"/>
    </row>
    <row r="8" spans="1:14" ht="21" hidden="1" customHeight="1" x14ac:dyDescent="0.3">
      <c r="A8" s="103"/>
      <c r="B8" s="103"/>
      <c r="C8" s="82"/>
      <c r="D8" s="97"/>
      <c r="E8" s="97"/>
      <c r="F8" s="97"/>
      <c r="G8" s="97"/>
      <c r="H8" s="97"/>
      <c r="I8" s="97"/>
      <c r="J8" s="97"/>
    </row>
    <row r="9" spans="1:14" ht="21.75" hidden="1" customHeight="1" x14ac:dyDescent="0.3">
      <c r="A9" s="276" t="s">
        <v>81</v>
      </c>
      <c r="B9" s="277"/>
      <c r="C9" s="278"/>
      <c r="D9" s="104" t="s">
        <v>23</v>
      </c>
      <c r="E9" s="97"/>
      <c r="F9" s="97"/>
      <c r="G9" s="97"/>
      <c r="H9" s="97"/>
      <c r="I9" s="97"/>
      <c r="J9" s="97"/>
    </row>
    <row r="10" spans="1:14" ht="18" hidden="1" customHeight="1" x14ac:dyDescent="0.3">
      <c r="A10" s="211" t="s">
        <v>143</v>
      </c>
      <c r="B10" s="211"/>
      <c r="C10" s="104" t="str">
        <f>finansowanie!K7</f>
        <v>duże</v>
      </c>
      <c r="E10" s="97"/>
      <c r="F10" s="97"/>
      <c r="G10" s="97"/>
      <c r="H10" s="97"/>
      <c r="I10" s="97"/>
      <c r="J10" s="97"/>
    </row>
    <row r="11" spans="1:14" ht="14.25" customHeight="1" x14ac:dyDescent="0.3">
      <c r="A11" s="105" t="s">
        <v>75</v>
      </c>
      <c r="B11" s="97"/>
      <c r="C11" s="97"/>
      <c r="D11" s="97"/>
      <c r="E11" s="97"/>
      <c r="F11" s="97"/>
      <c r="G11" s="97"/>
      <c r="H11" s="97"/>
      <c r="I11" s="97"/>
      <c r="J11" s="97"/>
    </row>
    <row r="12" spans="1:14" ht="27" customHeight="1" x14ac:dyDescent="0.3">
      <c r="A12" s="267" t="s">
        <v>0</v>
      </c>
      <c r="B12" s="268" t="s">
        <v>1</v>
      </c>
      <c r="C12" s="268"/>
      <c r="D12" s="268"/>
      <c r="E12" s="268"/>
      <c r="F12" s="266" t="s">
        <v>140</v>
      </c>
      <c r="G12" s="266"/>
      <c r="H12" s="266"/>
      <c r="I12" s="266"/>
      <c r="J12" s="267" t="s">
        <v>106</v>
      </c>
      <c r="K12" s="268" t="s">
        <v>150</v>
      </c>
    </row>
    <row r="13" spans="1:14" ht="56.25" customHeight="1" x14ac:dyDescent="0.3">
      <c r="A13" s="267"/>
      <c r="B13" s="268"/>
      <c r="C13" s="268"/>
      <c r="D13" s="268"/>
      <c r="E13" s="268"/>
      <c r="F13" s="107" t="s">
        <v>102</v>
      </c>
      <c r="G13" s="107" t="s">
        <v>101</v>
      </c>
      <c r="H13" s="107" t="s">
        <v>122</v>
      </c>
      <c r="I13" s="107" t="s">
        <v>105</v>
      </c>
      <c r="J13" s="267"/>
      <c r="K13" s="268"/>
    </row>
    <row r="14" spans="1:14" ht="36.75" customHeight="1" x14ac:dyDescent="0.3">
      <c r="A14" s="249" t="s">
        <v>136</v>
      </c>
      <c r="B14" s="250"/>
      <c r="C14" s="250"/>
      <c r="D14" s="250"/>
      <c r="E14" s="251"/>
      <c r="F14" s="90"/>
      <c r="G14" s="90"/>
      <c r="H14" s="90"/>
      <c r="I14" s="90"/>
      <c r="J14" s="108"/>
      <c r="K14" s="108"/>
    </row>
    <row r="15" spans="1:14" ht="29.25" customHeight="1" x14ac:dyDescent="0.3">
      <c r="A15" s="243" t="s">
        <v>121</v>
      </c>
      <c r="B15" s="244"/>
      <c r="C15" s="244"/>
      <c r="D15" s="244"/>
      <c r="E15" s="245"/>
      <c r="F15" s="108"/>
      <c r="G15" s="152" t="s">
        <v>23</v>
      </c>
      <c r="H15" s="108"/>
      <c r="I15" s="108"/>
      <c r="J15" s="108"/>
      <c r="K15" s="108"/>
    </row>
    <row r="16" spans="1:14" ht="28.5" customHeight="1" x14ac:dyDescent="0.3">
      <c r="A16" s="106">
        <v>1</v>
      </c>
      <c r="B16" s="246" t="s">
        <v>104</v>
      </c>
      <c r="C16" s="247"/>
      <c r="D16" s="247"/>
      <c r="E16" s="248"/>
      <c r="F16" s="109">
        <f>SUM(F18:F25)</f>
        <v>0</v>
      </c>
      <c r="G16" s="109">
        <f t="shared" ref="G16:I16" si="0">SUM(G18:G25)</f>
        <v>0</v>
      </c>
      <c r="H16" s="109">
        <f t="shared" si="0"/>
        <v>0</v>
      </c>
      <c r="I16" s="109">
        <f t="shared" si="0"/>
        <v>0</v>
      </c>
      <c r="J16" s="109">
        <f>SUM(J18:J25)</f>
        <v>0</v>
      </c>
      <c r="K16" s="114">
        <f>finansowanie!K28</f>
        <v>0</v>
      </c>
      <c r="L16" s="279" t="str">
        <f>IF(J16=K16,"","Zsumowane koszty poszczególnych elementów nie są równe kwocie kosztów kwalifikowanych podanej w arkuszu 'finansowanie'")</f>
        <v/>
      </c>
      <c r="M16" s="280"/>
      <c r="N16" s="280"/>
    </row>
    <row r="17" spans="1:14" ht="20.25" customHeight="1" x14ac:dyDescent="0.3">
      <c r="A17" s="110"/>
      <c r="B17" s="263" t="s">
        <v>153</v>
      </c>
      <c r="C17" s="264"/>
      <c r="D17" s="264"/>
      <c r="E17" s="265"/>
      <c r="F17" s="111" t="e">
        <f>F16/SUM($F16:$I16)</f>
        <v>#DIV/0!</v>
      </c>
      <c r="G17" s="111" t="e">
        <f t="shared" ref="G17:I17" si="1">G16/SUM($F16:$I16)</f>
        <v>#DIV/0!</v>
      </c>
      <c r="H17" s="111" t="e">
        <f t="shared" si="1"/>
        <v>#DIV/0!</v>
      </c>
      <c r="I17" s="111" t="e">
        <f t="shared" si="1"/>
        <v>#DIV/0!</v>
      </c>
      <c r="J17" s="112" t="e">
        <f>SUM(F17:I17)</f>
        <v>#DIV/0!</v>
      </c>
      <c r="K17" s="108"/>
    </row>
    <row r="18" spans="1:14" s="115" customFormat="1" ht="27" customHeight="1" x14ac:dyDescent="0.3">
      <c r="A18" s="113" t="s">
        <v>3</v>
      </c>
      <c r="B18" s="249" t="s">
        <v>111</v>
      </c>
      <c r="C18" s="250"/>
      <c r="D18" s="250"/>
      <c r="E18" s="251"/>
      <c r="F18" s="94"/>
      <c r="G18" s="94"/>
      <c r="H18" s="94"/>
      <c r="I18" s="282"/>
      <c r="J18" s="114">
        <f>SUM(F18:I18)</f>
        <v>0</v>
      </c>
      <c r="K18" s="108"/>
    </row>
    <row r="19" spans="1:14" s="115" customFormat="1" ht="27" customHeight="1" x14ac:dyDescent="0.3">
      <c r="A19" s="116" t="s">
        <v>4</v>
      </c>
      <c r="B19" s="249" t="s">
        <v>112</v>
      </c>
      <c r="C19" s="250"/>
      <c r="D19" s="250"/>
      <c r="E19" s="251"/>
      <c r="F19" s="94"/>
      <c r="G19" s="94"/>
      <c r="H19" s="94"/>
      <c r="I19" s="283"/>
      <c r="J19" s="114">
        <f t="shared" ref="J19:J25" si="2">SUM(F19:I19)</f>
        <v>0</v>
      </c>
      <c r="K19" s="108"/>
    </row>
    <row r="20" spans="1:14" s="115" customFormat="1" ht="27" customHeight="1" x14ac:dyDescent="0.3">
      <c r="A20" s="116" t="s">
        <v>5</v>
      </c>
      <c r="B20" s="249" t="s">
        <v>113</v>
      </c>
      <c r="C20" s="250"/>
      <c r="D20" s="250"/>
      <c r="E20" s="251"/>
      <c r="F20" s="94"/>
      <c r="G20" s="94"/>
      <c r="H20" s="94"/>
      <c r="I20" s="283"/>
      <c r="J20" s="114">
        <f t="shared" si="2"/>
        <v>0</v>
      </c>
      <c r="K20" s="108"/>
      <c r="N20" s="117"/>
    </row>
    <row r="21" spans="1:14" s="115" customFormat="1" ht="27" customHeight="1" x14ac:dyDescent="0.3">
      <c r="A21" s="113" t="s">
        <v>6</v>
      </c>
      <c r="B21" s="249" t="s">
        <v>114</v>
      </c>
      <c r="C21" s="250"/>
      <c r="D21" s="250"/>
      <c r="E21" s="251"/>
      <c r="F21" s="94"/>
      <c r="G21" s="94"/>
      <c r="H21" s="94"/>
      <c r="I21" s="283"/>
      <c r="J21" s="114">
        <f t="shared" si="2"/>
        <v>0</v>
      </c>
      <c r="K21" s="108"/>
    </row>
    <row r="22" spans="1:14" s="115" customFormat="1" ht="27" customHeight="1" x14ac:dyDescent="0.3">
      <c r="A22" s="116" t="s">
        <v>7</v>
      </c>
      <c r="B22" s="249" t="s">
        <v>115</v>
      </c>
      <c r="C22" s="250"/>
      <c r="D22" s="250"/>
      <c r="E22" s="251"/>
      <c r="F22" s="94"/>
      <c r="G22" s="94"/>
      <c r="H22" s="94"/>
      <c r="I22" s="283"/>
      <c r="J22" s="114">
        <f t="shared" si="2"/>
        <v>0</v>
      </c>
      <c r="K22" s="108"/>
    </row>
    <row r="23" spans="1:14" s="115" customFormat="1" ht="27" customHeight="1" x14ac:dyDescent="0.3">
      <c r="A23" s="116" t="s">
        <v>8</v>
      </c>
      <c r="B23" s="249" t="s">
        <v>116</v>
      </c>
      <c r="C23" s="250"/>
      <c r="D23" s="250"/>
      <c r="E23" s="251"/>
      <c r="F23" s="94"/>
      <c r="G23" s="94"/>
      <c r="H23" s="94"/>
      <c r="I23" s="283"/>
      <c r="J23" s="114">
        <f t="shared" si="2"/>
        <v>0</v>
      </c>
      <c r="K23" s="108"/>
    </row>
    <row r="24" spans="1:14" s="115" customFormat="1" ht="27" customHeight="1" x14ac:dyDescent="0.3">
      <c r="A24" s="116" t="s">
        <v>9</v>
      </c>
      <c r="B24" s="249" t="s">
        <v>117</v>
      </c>
      <c r="C24" s="250"/>
      <c r="D24" s="250"/>
      <c r="E24" s="251"/>
      <c r="F24" s="94"/>
      <c r="G24" s="94"/>
      <c r="H24" s="94"/>
      <c r="I24" s="284"/>
      <c r="J24" s="114">
        <f t="shared" si="2"/>
        <v>0</v>
      </c>
      <c r="K24" s="108"/>
    </row>
    <row r="25" spans="1:14" s="115" customFormat="1" ht="27" customHeight="1" x14ac:dyDescent="0.3">
      <c r="A25" s="116" t="s">
        <v>103</v>
      </c>
      <c r="B25" s="249" t="s">
        <v>118</v>
      </c>
      <c r="C25" s="250"/>
      <c r="D25" s="250"/>
      <c r="E25" s="251"/>
      <c r="F25" s="108"/>
      <c r="G25" s="108"/>
      <c r="H25" s="108"/>
      <c r="I25" s="94"/>
      <c r="J25" s="114">
        <f t="shared" si="2"/>
        <v>0</v>
      </c>
      <c r="K25" s="108"/>
    </row>
    <row r="26" spans="1:14" s="115" customFormat="1" ht="25.5" customHeight="1" x14ac:dyDescent="0.3">
      <c r="A26" s="107">
        <v>2</v>
      </c>
      <c r="B26" s="246" t="s">
        <v>139</v>
      </c>
      <c r="C26" s="247"/>
      <c r="D26" s="247"/>
      <c r="E26" s="248"/>
      <c r="F26" s="204"/>
      <c r="G26" s="108"/>
      <c r="H26" s="108"/>
      <c r="I26" s="108"/>
      <c r="J26" s="108"/>
      <c r="K26" s="108"/>
      <c r="L26" s="279" t="str">
        <f>IF(F26&gt;F16,"Luka w finansowaniu nie może być wyższa niż koszty inwestycji w sieć dystrybucji","")</f>
        <v/>
      </c>
      <c r="M26" s="280"/>
      <c r="N26" s="280"/>
    </row>
    <row r="27" spans="1:14" s="115" customFormat="1" ht="16.5" hidden="1" customHeight="1" x14ac:dyDescent="0.3">
      <c r="A27" s="116" t="s">
        <v>10</v>
      </c>
      <c r="B27" s="249" t="s">
        <v>84</v>
      </c>
      <c r="C27" s="250"/>
      <c r="D27" s="250"/>
      <c r="E27" s="251"/>
      <c r="F27" s="269"/>
      <c r="G27" s="270"/>
      <c r="H27" s="270"/>
      <c r="I27" s="270"/>
      <c r="J27" s="271"/>
      <c r="K27" s="108"/>
    </row>
    <row r="28" spans="1:14" s="115" customFormat="1" ht="16.5" hidden="1" customHeight="1" x14ac:dyDescent="0.3">
      <c r="A28" s="116" t="s">
        <v>11</v>
      </c>
      <c r="B28" s="249" t="s">
        <v>13</v>
      </c>
      <c r="C28" s="250"/>
      <c r="D28" s="250"/>
      <c r="E28" s="251"/>
      <c r="F28" s="269"/>
      <c r="G28" s="270"/>
      <c r="H28" s="270"/>
      <c r="I28" s="270"/>
      <c r="J28" s="271"/>
      <c r="K28" s="108"/>
    </row>
    <row r="29" spans="1:14" s="115" customFormat="1" ht="16.5" hidden="1" customHeight="1" x14ac:dyDescent="0.3">
      <c r="A29" s="116" t="s">
        <v>12</v>
      </c>
      <c r="B29" s="249" t="s">
        <v>13</v>
      </c>
      <c r="C29" s="250"/>
      <c r="D29" s="250"/>
      <c r="E29" s="251"/>
      <c r="F29" s="269"/>
      <c r="G29" s="270"/>
      <c r="H29" s="270"/>
      <c r="I29" s="270"/>
      <c r="J29" s="271"/>
      <c r="K29" s="108"/>
    </row>
    <row r="30" spans="1:14" s="115" customFormat="1" ht="16.5" hidden="1" customHeight="1" x14ac:dyDescent="0.3">
      <c r="A30" s="116" t="s">
        <v>85</v>
      </c>
      <c r="B30" s="249" t="s">
        <v>13</v>
      </c>
      <c r="C30" s="250"/>
      <c r="D30" s="250"/>
      <c r="E30" s="251"/>
      <c r="F30" s="269"/>
      <c r="G30" s="270"/>
      <c r="H30" s="270"/>
      <c r="I30" s="270"/>
      <c r="J30" s="271"/>
      <c r="K30" s="108"/>
    </row>
    <row r="31" spans="1:14" s="115" customFormat="1" ht="16.5" hidden="1" customHeight="1" x14ac:dyDescent="0.3">
      <c r="A31" s="116" t="s">
        <v>86</v>
      </c>
      <c r="B31" s="249" t="s">
        <v>13</v>
      </c>
      <c r="C31" s="250"/>
      <c r="D31" s="250"/>
      <c r="E31" s="251"/>
      <c r="F31" s="269"/>
      <c r="G31" s="270"/>
      <c r="H31" s="270"/>
      <c r="I31" s="270"/>
      <c r="J31" s="271"/>
      <c r="K31" s="108"/>
    </row>
    <row r="32" spans="1:14" s="115" customFormat="1" ht="16.5" hidden="1" customHeight="1" x14ac:dyDescent="0.3">
      <c r="A32" s="116" t="s">
        <v>87</v>
      </c>
      <c r="B32" s="249" t="s">
        <v>13</v>
      </c>
      <c r="C32" s="250"/>
      <c r="D32" s="250"/>
      <c r="E32" s="251"/>
      <c r="F32" s="269"/>
      <c r="G32" s="270"/>
      <c r="H32" s="270"/>
      <c r="I32" s="270"/>
      <c r="J32" s="271"/>
      <c r="K32" s="108"/>
    </row>
    <row r="33" spans="1:14" s="115" customFormat="1" ht="26.25" hidden="1" customHeight="1" x14ac:dyDescent="0.3">
      <c r="A33" s="107">
        <v>3</v>
      </c>
      <c r="B33" s="246" t="s">
        <v>94</v>
      </c>
      <c r="C33" s="247"/>
      <c r="D33" s="247"/>
      <c r="E33" s="248"/>
      <c r="F33" s="259">
        <f>J16+F26</f>
        <v>0</v>
      </c>
      <c r="G33" s="260"/>
      <c r="H33" s="260"/>
      <c r="I33" s="260"/>
      <c r="J33" s="261"/>
      <c r="K33" s="108"/>
      <c r="N33" s="119"/>
    </row>
    <row r="34" spans="1:14" s="115" customFormat="1" ht="26.25" customHeight="1" x14ac:dyDescent="0.3">
      <c r="A34" s="106">
        <v>3</v>
      </c>
      <c r="B34" s="253" t="s">
        <v>107</v>
      </c>
      <c r="C34" s="253"/>
      <c r="D34" s="253"/>
      <c r="E34" s="253"/>
      <c r="F34" s="89" t="s">
        <v>108</v>
      </c>
      <c r="G34" s="89">
        <f>VLOOKUP(G15,A56:B57,2,FALSE)+VLOOKUP(C10,D56:E59,2,FALSE)</f>
        <v>0.3</v>
      </c>
      <c r="H34" s="89">
        <f>0.45+VLOOKUP(C10,D56:E59,2,FALSE)</f>
        <v>0.45</v>
      </c>
      <c r="I34" s="108"/>
      <c r="J34" s="108"/>
      <c r="K34" s="108"/>
      <c r="N34" s="120"/>
    </row>
    <row r="35" spans="1:14" s="115" customFormat="1" ht="26.25" customHeight="1" x14ac:dyDescent="0.3">
      <c r="A35" s="106">
        <v>4</v>
      </c>
      <c r="B35" s="253" t="s">
        <v>109</v>
      </c>
      <c r="C35" s="253"/>
      <c r="D35" s="253"/>
      <c r="E35" s="253"/>
      <c r="F35" s="121">
        <f>F26</f>
        <v>0</v>
      </c>
      <c r="G35" s="121">
        <f t="shared" ref="G35:H35" si="3">G16*G34</f>
        <v>0</v>
      </c>
      <c r="H35" s="121">
        <f t="shared" si="3"/>
        <v>0</v>
      </c>
      <c r="I35" s="121">
        <f>MIN(I25,F48)</f>
        <v>1300500</v>
      </c>
      <c r="J35" s="121">
        <f>SUM(F35:I35)</f>
        <v>1300500</v>
      </c>
      <c r="K35" s="108"/>
      <c r="N35" s="120"/>
    </row>
    <row r="36" spans="1:14" s="115" customFormat="1" ht="26.25" customHeight="1" x14ac:dyDescent="0.3">
      <c r="A36" s="106">
        <v>5</v>
      </c>
      <c r="B36" s="246" t="s">
        <v>147</v>
      </c>
      <c r="C36" s="247"/>
      <c r="D36" s="247"/>
      <c r="E36" s="248"/>
      <c r="F36" s="94"/>
      <c r="G36" s="94"/>
      <c r="H36" s="94"/>
      <c r="I36" s="94"/>
      <c r="J36" s="121">
        <f>SUM(F36:I36)</f>
        <v>0</v>
      </c>
      <c r="K36" s="114">
        <f>finansowanie!K29</f>
        <v>0</v>
      </c>
      <c r="L36" s="279" t="str">
        <f>IF(J36=K36,"","Zsumowane kwoty dotacji IF na poszczególne elementy nie są równe kwocie dotacji IF podanej w arkuszu 'finansowanie'")</f>
        <v/>
      </c>
      <c r="M36" s="280"/>
      <c r="N36" s="280"/>
    </row>
    <row r="37" spans="1:14" s="115" customFormat="1" ht="26.25" customHeight="1" x14ac:dyDescent="0.3">
      <c r="A37" s="106">
        <v>6</v>
      </c>
      <c r="B37" s="246" t="s">
        <v>148</v>
      </c>
      <c r="C37" s="247"/>
      <c r="D37" s="247"/>
      <c r="E37" s="248"/>
      <c r="F37" s="94"/>
      <c r="G37" s="94"/>
      <c r="H37" s="94"/>
      <c r="I37" s="94"/>
      <c r="J37" s="121">
        <f>SUM(F37:I37)</f>
        <v>0</v>
      </c>
      <c r="K37" s="114">
        <f>finansowanie!K30</f>
        <v>0</v>
      </c>
      <c r="L37" s="279" t="str">
        <f>IF(J37=K37,"","Zsumowane kwoty pożyczki IF na poszczególne elementy nie są równe kwocie pożyczki IF podanej w arkuszu 'finansowanie'")</f>
        <v/>
      </c>
      <c r="M37" s="280"/>
      <c r="N37" s="280"/>
    </row>
    <row r="38" spans="1:14" s="115" customFormat="1" ht="26.25" customHeight="1" x14ac:dyDescent="0.3">
      <c r="A38" s="106">
        <v>7</v>
      </c>
      <c r="B38" s="246" t="s">
        <v>141</v>
      </c>
      <c r="C38" s="247"/>
      <c r="D38" s="247"/>
      <c r="E38" s="248"/>
      <c r="F38" s="91" t="e">
        <f>F37/$J37*finansowanie!$L30</f>
        <v>#DIV/0!</v>
      </c>
      <c r="G38" s="91" t="e">
        <f>G37/$J37*finansowanie!$L30</f>
        <v>#DIV/0!</v>
      </c>
      <c r="H38" s="91" t="e">
        <f>H37/$J37*finansowanie!$L30</f>
        <v>#DIV/0!</v>
      </c>
      <c r="I38" s="91" t="e">
        <f>I37/$J37*finansowanie!$L30</f>
        <v>#DIV/0!</v>
      </c>
      <c r="J38" s="121" t="e">
        <f>SUM(F38:I38)</f>
        <v>#DIV/0!</v>
      </c>
      <c r="K38" s="108"/>
      <c r="N38" s="120"/>
    </row>
    <row r="39" spans="1:14" s="115" customFormat="1" ht="26.25" customHeight="1" x14ac:dyDescent="0.3">
      <c r="A39" s="106">
        <v>8</v>
      </c>
      <c r="B39" s="246" t="s">
        <v>151</v>
      </c>
      <c r="C39" s="247"/>
      <c r="D39" s="247"/>
      <c r="E39" s="248"/>
      <c r="F39" s="91">
        <f>F36+F37</f>
        <v>0</v>
      </c>
      <c r="G39" s="91">
        <f t="shared" ref="G39:I39" si="4">G36+G37</f>
        <v>0</v>
      </c>
      <c r="H39" s="91">
        <f t="shared" si="4"/>
        <v>0</v>
      </c>
      <c r="I39" s="91">
        <f t="shared" si="4"/>
        <v>0</v>
      </c>
      <c r="J39" s="118">
        <f>J36+J37</f>
        <v>0</v>
      </c>
      <c r="K39" s="108"/>
      <c r="L39" s="281" t="str">
        <f>IF(OR(F39&gt;F16,G39&gt;G16,H39&gt;H16,I39&gt;I16),"Łączna kwota dotacji IF i pożyczki IF na dany element przekracza koszty tego elementu. Zmniejsz kwotę dotacji IF (poz. 5) lub pożyczki IF (poz. 6) na ten element.","")</f>
        <v/>
      </c>
      <c r="M39" s="252"/>
      <c r="N39" s="252"/>
    </row>
    <row r="40" spans="1:14" s="115" customFormat="1" ht="26.25" customHeight="1" x14ac:dyDescent="0.3">
      <c r="A40" s="106">
        <v>9</v>
      </c>
      <c r="B40" s="246" t="s">
        <v>142</v>
      </c>
      <c r="C40" s="247"/>
      <c r="D40" s="247"/>
      <c r="E40" s="248"/>
      <c r="F40" s="121" t="e">
        <f>F36+F38</f>
        <v>#DIV/0!</v>
      </c>
      <c r="G40" s="121" t="e">
        <f t="shared" ref="G40:J40" si="5">G36+G38</f>
        <v>#DIV/0!</v>
      </c>
      <c r="H40" s="121" t="e">
        <f t="shared" si="5"/>
        <v>#DIV/0!</v>
      </c>
      <c r="I40" s="121" t="e">
        <f t="shared" si="5"/>
        <v>#DIV/0!</v>
      </c>
      <c r="J40" s="121" t="e">
        <f t="shared" si="5"/>
        <v>#DIV/0!</v>
      </c>
      <c r="K40" s="108"/>
      <c r="L40" s="281" t="e">
        <f>IF(OR(F40&gt;F35,G40&gt;G35,H40&gt;H35,I40&gt;I35),"Zbyt wysoka łączna pomoc (EDB) na dany element. Zmniejsz kwotę dotacji IF (poz. 5) lub pożyczki IF (poz. 6) na ten element.","")</f>
        <v>#DIV/0!</v>
      </c>
      <c r="M40" s="252"/>
      <c r="N40" s="252"/>
    </row>
    <row r="41" spans="1:14" ht="29.25" hidden="1" customHeight="1" x14ac:dyDescent="0.3">
      <c r="A41" s="106">
        <v>7</v>
      </c>
      <c r="B41" s="253" t="s">
        <v>93</v>
      </c>
      <c r="C41" s="253"/>
      <c r="D41" s="253"/>
      <c r="E41" s="253"/>
      <c r="F41" s="254" t="e">
        <f>F33+#REF!</f>
        <v>#REF!</v>
      </c>
      <c r="G41" s="254"/>
      <c r="H41" s="254"/>
      <c r="I41" s="254"/>
      <c r="J41" s="254"/>
      <c r="N41" s="122"/>
    </row>
    <row r="42" spans="1:14" s="126" customFormat="1" ht="47.25" customHeight="1" x14ac:dyDescent="0.25">
      <c r="A42" s="123"/>
      <c r="B42" s="208" t="s">
        <v>137</v>
      </c>
      <c r="C42" s="123"/>
      <c r="D42" s="124"/>
      <c r="E42" s="124"/>
      <c r="F42" s="125"/>
      <c r="G42" s="125"/>
      <c r="H42" s="125"/>
      <c r="I42" s="125"/>
      <c r="J42" s="203" t="e">
        <f>IF(J40&gt;J35,"Zbyt wysoka łączna pomoc (EDB) na przedsięwzięcie. Zmniejsz kwotę dotacji IF.","")</f>
        <v>#DIV/0!</v>
      </c>
    </row>
    <row r="43" spans="1:14" s="130" customFormat="1" ht="3.75" customHeight="1" x14ac:dyDescent="0.25">
      <c r="A43" s="127"/>
      <c r="C43" s="127"/>
      <c r="D43" s="128"/>
      <c r="E43" s="128"/>
      <c r="F43" s="128"/>
      <c r="G43" s="128"/>
      <c r="H43" s="128"/>
      <c r="I43" s="128"/>
      <c r="J43" s="129"/>
    </row>
    <row r="44" spans="1:14" s="130" customFormat="1" ht="18.75" customHeight="1" x14ac:dyDescent="0.25">
      <c r="A44" s="127"/>
      <c r="B44" s="258" t="s">
        <v>110</v>
      </c>
      <c r="C44" s="258"/>
      <c r="D44" s="258"/>
      <c r="E44" s="258"/>
      <c r="F44" s="114">
        <v>300000</v>
      </c>
      <c r="G44" s="128"/>
      <c r="H44" s="128"/>
      <c r="I44" s="128"/>
      <c r="J44" s="129"/>
    </row>
    <row r="45" spans="1:14" s="130" customFormat="1" ht="18.75" customHeight="1" x14ac:dyDescent="0.25">
      <c r="A45" s="127"/>
      <c r="B45" s="258" t="s">
        <v>120</v>
      </c>
      <c r="C45" s="258"/>
      <c r="D45" s="258"/>
      <c r="E45" s="258"/>
      <c r="F45" s="153"/>
      <c r="G45" s="128"/>
      <c r="H45" s="128"/>
      <c r="I45" s="128"/>
      <c r="J45" s="129"/>
    </row>
    <row r="46" spans="1:14" s="130" customFormat="1" ht="18.75" customHeight="1" x14ac:dyDescent="0.25">
      <c r="A46" s="127"/>
      <c r="B46" s="258" t="s">
        <v>152</v>
      </c>
      <c r="C46" s="258"/>
      <c r="D46" s="258"/>
      <c r="E46" s="258"/>
      <c r="F46" s="114">
        <f>F44-F45</f>
        <v>300000</v>
      </c>
      <c r="H46" s="128"/>
      <c r="I46" s="128"/>
      <c r="J46" s="129"/>
    </row>
    <row r="47" spans="1:14" s="130" customFormat="1" ht="18.75" customHeight="1" x14ac:dyDescent="0.25">
      <c r="A47" s="127"/>
      <c r="B47" s="258" t="s">
        <v>138</v>
      </c>
      <c r="C47" s="258"/>
      <c r="D47" s="262">
        <v>45595</v>
      </c>
      <c r="E47" s="262"/>
      <c r="F47" s="95">
        <v>4.335</v>
      </c>
      <c r="G47" s="128"/>
      <c r="H47" s="128"/>
      <c r="I47" s="128"/>
      <c r="J47" s="129"/>
    </row>
    <row r="48" spans="1:14" s="130" customFormat="1" ht="18.75" customHeight="1" x14ac:dyDescent="0.25">
      <c r="A48" s="127"/>
      <c r="B48" s="258" t="s">
        <v>119</v>
      </c>
      <c r="C48" s="258"/>
      <c r="D48" s="258"/>
      <c r="E48" s="258"/>
      <c r="F48" s="114">
        <f>F46*F47</f>
        <v>1300500</v>
      </c>
      <c r="G48" s="128"/>
      <c r="H48" s="128"/>
      <c r="I48" s="128"/>
      <c r="J48" s="129"/>
    </row>
    <row r="49" spans="1:17" s="130" customFormat="1" ht="107.25" hidden="1" customHeight="1" x14ac:dyDescent="0.25">
      <c r="A49" s="257" t="s">
        <v>100</v>
      </c>
      <c r="B49" s="257"/>
      <c r="C49" s="257"/>
      <c r="D49" s="257"/>
      <c r="E49" s="257"/>
      <c r="F49" s="257"/>
      <c r="G49" s="257"/>
    </row>
    <row r="50" spans="1:17" s="130" customFormat="1" ht="32.25" hidden="1" customHeight="1" x14ac:dyDescent="0.25">
      <c r="A50" s="256" t="s">
        <v>95</v>
      </c>
      <c r="B50" s="256"/>
      <c r="C50" s="256"/>
      <c r="D50" s="256"/>
      <c r="E50" s="256"/>
      <c r="F50" s="256"/>
      <c r="G50" s="256"/>
      <c r="H50" s="132"/>
      <c r="I50" s="132"/>
      <c r="J50" s="132"/>
    </row>
    <row r="51" spans="1:17" s="130" customFormat="1" ht="101.25" hidden="1" customHeight="1" x14ac:dyDescent="0.25">
      <c r="A51" s="255"/>
      <c r="B51" s="255"/>
      <c r="C51" s="255"/>
      <c r="D51" s="255"/>
      <c r="E51" s="255"/>
      <c r="F51" s="255"/>
      <c r="G51" s="255"/>
      <c r="H51" s="133"/>
      <c r="I51" s="133"/>
      <c r="J51" s="133"/>
    </row>
    <row r="52" spans="1:17" s="130" customFormat="1" ht="16.5" hidden="1" customHeight="1" x14ac:dyDescent="0.25">
      <c r="A52" s="131"/>
      <c r="B52" s="131"/>
      <c r="C52" s="131"/>
      <c r="D52" s="131"/>
      <c r="E52" s="131"/>
    </row>
    <row r="53" spans="1:17" s="130" customFormat="1" ht="15" hidden="1" customHeight="1" x14ac:dyDescent="0.25">
      <c r="A53" s="131"/>
      <c r="B53" s="131"/>
      <c r="C53" s="131"/>
      <c r="D53" s="131"/>
      <c r="E53" s="131"/>
    </row>
    <row r="54" spans="1:17" ht="15" hidden="1" customHeight="1" x14ac:dyDescent="0.3">
      <c r="A54" s="252"/>
      <c r="B54" s="252"/>
      <c r="C54" s="252"/>
      <c r="D54" s="252"/>
      <c r="E54" s="252"/>
      <c r="F54" s="252"/>
      <c r="G54" s="252"/>
      <c r="H54" s="252"/>
      <c r="I54" s="252"/>
      <c r="J54" s="252"/>
      <c r="K54" s="134"/>
    </row>
    <row r="55" spans="1:17" hidden="1" x14ac:dyDescent="0.3">
      <c r="A55" s="98" t="s">
        <v>82</v>
      </c>
      <c r="B55" s="134"/>
      <c r="C55" s="134"/>
      <c r="D55" s="135" t="s">
        <v>15</v>
      </c>
      <c r="F55" s="134"/>
      <c r="G55" s="134"/>
      <c r="H55" s="134"/>
      <c r="I55" s="134"/>
      <c r="J55" s="134"/>
      <c r="K55" s="135"/>
    </row>
    <row r="56" spans="1:17" hidden="1" x14ac:dyDescent="0.3">
      <c r="A56" s="98" t="s">
        <v>23</v>
      </c>
      <c r="B56" s="83">
        <v>0.3</v>
      </c>
      <c r="D56" s="136" t="s">
        <v>144</v>
      </c>
      <c r="E56" s="84">
        <v>0</v>
      </c>
      <c r="K56" s="136"/>
      <c r="L56" s="84"/>
      <c r="O56" s="92"/>
      <c r="P56" s="92"/>
      <c r="Q56" s="136"/>
    </row>
    <row r="57" spans="1:17" hidden="1" x14ac:dyDescent="0.3">
      <c r="A57" s="98" t="s">
        <v>17</v>
      </c>
      <c r="B57" s="83">
        <v>0.45</v>
      </c>
      <c r="D57" s="136" t="s">
        <v>145</v>
      </c>
      <c r="E57" s="84">
        <v>0.1</v>
      </c>
      <c r="F57" s="84"/>
      <c r="G57" s="84"/>
      <c r="H57" s="84"/>
      <c r="I57" s="84"/>
      <c r="K57" s="136"/>
      <c r="L57" s="84"/>
      <c r="O57" s="93"/>
      <c r="P57" s="93"/>
      <c r="Q57" s="136"/>
    </row>
    <row r="58" spans="1:17" ht="16.5" hidden="1" customHeight="1" x14ac:dyDescent="0.3">
      <c r="D58" s="136" t="s">
        <v>146</v>
      </c>
      <c r="E58" s="84">
        <v>0.2</v>
      </c>
      <c r="F58" s="84"/>
      <c r="G58" s="84"/>
      <c r="H58" s="84"/>
      <c r="I58" s="84"/>
      <c r="K58" s="136"/>
      <c r="L58" s="84"/>
      <c r="O58" s="92"/>
      <c r="P58" s="92"/>
    </row>
    <row r="59" spans="1:17" hidden="1" x14ac:dyDescent="0.3">
      <c r="D59" s="136" t="s">
        <v>14</v>
      </c>
      <c r="E59" s="84">
        <v>0.2</v>
      </c>
      <c r="F59" s="84"/>
      <c r="G59" s="84"/>
      <c r="H59" s="84"/>
      <c r="I59" s="84"/>
      <c r="K59" s="136"/>
      <c r="L59" s="84"/>
      <c r="O59" s="92"/>
      <c r="P59" s="92"/>
    </row>
    <row r="60" spans="1:17" x14ac:dyDescent="0.3">
      <c r="F60" s="84"/>
      <c r="G60" s="84"/>
      <c r="H60" s="84"/>
      <c r="I60" s="84"/>
      <c r="K60" s="136"/>
      <c r="L60" s="84"/>
      <c r="O60" s="92"/>
      <c r="P60" s="92"/>
    </row>
    <row r="61" spans="1:17" x14ac:dyDescent="0.3">
      <c r="F61" s="84"/>
      <c r="G61" s="84"/>
      <c r="H61" s="84"/>
      <c r="I61" s="84"/>
      <c r="K61" s="136"/>
      <c r="L61" s="84"/>
      <c r="O61" s="92"/>
      <c r="P61" s="92"/>
    </row>
    <row r="62" spans="1:17" x14ac:dyDescent="0.3">
      <c r="F62" s="84"/>
      <c r="G62" s="84"/>
      <c r="H62" s="84"/>
      <c r="I62" s="84"/>
      <c r="K62" s="136"/>
      <c r="L62" s="84"/>
    </row>
    <row r="63" spans="1:17" x14ac:dyDescent="0.3">
      <c r="F63" s="84"/>
      <c r="G63" s="84"/>
      <c r="H63" s="84"/>
      <c r="I63" s="84"/>
      <c r="K63" s="136"/>
      <c r="L63" s="84"/>
    </row>
    <row r="64" spans="1:17" x14ac:dyDescent="0.3">
      <c r="F64" s="84"/>
      <c r="G64" s="84"/>
      <c r="H64" s="84"/>
      <c r="I64" s="84"/>
      <c r="K64" s="136"/>
      <c r="L64" s="84"/>
    </row>
    <row r="65" spans="6:20" x14ac:dyDescent="0.3">
      <c r="F65" s="84"/>
      <c r="G65" s="84"/>
      <c r="H65" s="84"/>
      <c r="I65" s="84"/>
      <c r="K65" s="136"/>
      <c r="L65" s="84"/>
    </row>
    <row r="66" spans="6:20" x14ac:dyDescent="0.3">
      <c r="F66" s="84"/>
      <c r="G66" s="84"/>
      <c r="H66" s="84"/>
      <c r="I66" s="84"/>
      <c r="K66" s="136"/>
      <c r="L66" s="84"/>
    </row>
    <row r="67" spans="6:20" x14ac:dyDescent="0.3">
      <c r="F67" s="84"/>
      <c r="G67" s="84"/>
      <c r="H67" s="84"/>
      <c r="I67" s="84"/>
      <c r="K67" s="136"/>
      <c r="L67" s="92"/>
    </row>
    <row r="68" spans="6:20" x14ac:dyDescent="0.3">
      <c r="F68" s="84"/>
      <c r="G68" s="84"/>
      <c r="H68" s="84"/>
      <c r="I68" s="84"/>
      <c r="K68" s="136"/>
      <c r="L68" s="92"/>
    </row>
    <row r="69" spans="6:20" x14ac:dyDescent="0.3">
      <c r="F69" s="84"/>
      <c r="G69" s="84"/>
      <c r="H69" s="84"/>
      <c r="I69" s="84"/>
      <c r="K69" s="136"/>
      <c r="L69" s="92"/>
    </row>
    <row r="70" spans="6:20" x14ac:dyDescent="0.3">
      <c r="F70" s="84"/>
      <c r="G70" s="84"/>
      <c r="H70" s="84"/>
      <c r="I70" s="84"/>
      <c r="K70" s="136"/>
      <c r="L70" s="92"/>
      <c r="P70" s="137"/>
    </row>
    <row r="71" spans="6:20" x14ac:dyDescent="0.3">
      <c r="F71" s="84"/>
      <c r="G71" s="84"/>
      <c r="H71" s="84"/>
      <c r="I71" s="84"/>
      <c r="K71" s="136"/>
      <c r="L71" s="92"/>
      <c r="P71" s="138"/>
    </row>
    <row r="72" spans="6:20" x14ac:dyDescent="0.3">
      <c r="F72" s="84"/>
      <c r="G72" s="84"/>
      <c r="H72" s="84"/>
      <c r="I72" s="84"/>
      <c r="K72" s="136"/>
      <c r="L72" s="92"/>
      <c r="M72" s="139"/>
    </row>
    <row r="73" spans="6:20" x14ac:dyDescent="0.3">
      <c r="F73" s="84"/>
      <c r="G73" s="84"/>
      <c r="H73" s="84"/>
      <c r="I73" s="84"/>
      <c r="M73" s="140"/>
      <c r="N73" s="141"/>
      <c r="P73" s="142"/>
    </row>
    <row r="74" spans="6:20" x14ac:dyDescent="0.3">
      <c r="F74" s="84"/>
      <c r="G74" s="84"/>
      <c r="H74" s="84"/>
      <c r="I74" s="84"/>
      <c r="O74" s="143"/>
      <c r="P74" s="143"/>
      <c r="Q74" s="143"/>
      <c r="R74" s="143"/>
      <c r="S74" s="143"/>
      <c r="T74" s="143"/>
    </row>
    <row r="75" spans="6:20" x14ac:dyDescent="0.3">
      <c r="F75" s="84"/>
      <c r="G75" s="84"/>
      <c r="H75" s="84"/>
      <c r="I75" s="84"/>
      <c r="O75" s="141"/>
      <c r="P75" s="141"/>
      <c r="Q75" s="141"/>
      <c r="R75" s="141"/>
      <c r="S75" s="141"/>
    </row>
    <row r="76" spans="6:20" x14ac:dyDescent="0.3">
      <c r="F76" s="84"/>
      <c r="G76" s="84"/>
      <c r="H76" s="84"/>
      <c r="I76" s="84"/>
      <c r="O76" s="144"/>
      <c r="P76" s="144"/>
      <c r="Q76" s="144"/>
      <c r="R76" s="144"/>
      <c r="S76" s="144"/>
    </row>
    <row r="77" spans="6:20" x14ac:dyDescent="0.3">
      <c r="F77" s="84"/>
      <c r="G77" s="84"/>
      <c r="H77" s="84"/>
      <c r="I77" s="84"/>
      <c r="O77" s="145"/>
      <c r="P77" s="145"/>
      <c r="Q77" s="145"/>
      <c r="R77" s="145"/>
      <c r="S77" s="145"/>
    </row>
    <row r="78" spans="6:20" x14ac:dyDescent="0.3">
      <c r="F78" s="84"/>
      <c r="G78" s="84"/>
      <c r="H78" s="84"/>
      <c r="I78" s="84"/>
      <c r="M78" s="139"/>
    </row>
    <row r="79" spans="6:20" x14ac:dyDescent="0.3">
      <c r="F79" s="84"/>
      <c r="G79" s="84"/>
      <c r="H79" s="84"/>
      <c r="I79" s="84"/>
    </row>
    <row r="80" spans="6:20" x14ac:dyDescent="0.3">
      <c r="F80" s="84"/>
      <c r="G80" s="84"/>
      <c r="H80" s="84"/>
      <c r="I80" s="84"/>
    </row>
    <row r="81" spans="1:24" x14ac:dyDescent="0.3">
      <c r="F81" s="84"/>
      <c r="G81" s="84"/>
      <c r="H81" s="84"/>
      <c r="I81" s="84"/>
      <c r="O81" s="146"/>
    </row>
    <row r="82" spans="1:24" x14ac:dyDescent="0.3">
      <c r="F82" s="84"/>
      <c r="G82" s="84"/>
      <c r="H82" s="84"/>
      <c r="I82" s="84"/>
    </row>
    <row r="83" spans="1:24" x14ac:dyDescent="0.3">
      <c r="F83" s="84"/>
      <c r="G83" s="84"/>
      <c r="H83" s="84"/>
      <c r="I83" s="84"/>
    </row>
    <row r="84" spans="1:24" x14ac:dyDescent="0.3">
      <c r="F84" s="84"/>
      <c r="G84" s="84"/>
      <c r="H84" s="84"/>
      <c r="I84" s="84"/>
      <c r="O84" s="141"/>
      <c r="P84" s="141"/>
      <c r="Q84" s="141"/>
      <c r="R84" s="141"/>
      <c r="S84" s="141"/>
      <c r="T84" s="141"/>
      <c r="U84" s="141"/>
    </row>
    <row r="85" spans="1:24" x14ac:dyDescent="0.3">
      <c r="P85" s="141"/>
      <c r="Q85" s="141"/>
      <c r="R85" s="141"/>
      <c r="S85" s="141"/>
      <c r="T85" s="141"/>
      <c r="U85" s="139"/>
      <c r="V85" s="139"/>
      <c r="W85" s="141"/>
      <c r="X85" s="141"/>
    </row>
    <row r="86" spans="1:24" x14ac:dyDescent="0.3">
      <c r="N86" s="139"/>
      <c r="O86" s="141"/>
      <c r="P86" s="141"/>
      <c r="Q86" s="141"/>
      <c r="R86" s="141"/>
      <c r="S86" s="141"/>
      <c r="T86" s="141"/>
      <c r="U86" s="141"/>
      <c r="V86" s="141"/>
      <c r="W86" s="141"/>
      <c r="X86" s="141"/>
    </row>
    <row r="87" spans="1:24" x14ac:dyDescent="0.3">
      <c r="N87" s="139"/>
      <c r="O87" s="144"/>
      <c r="P87" s="144"/>
      <c r="Q87" s="144"/>
      <c r="R87" s="144"/>
      <c r="S87" s="144"/>
      <c r="T87" s="144"/>
      <c r="U87" s="144"/>
      <c r="V87" s="144"/>
      <c r="W87" s="144"/>
      <c r="X87" s="144"/>
    </row>
    <row r="88" spans="1:24" x14ac:dyDescent="0.3">
      <c r="M88" s="139"/>
      <c r="O88" s="145"/>
      <c r="P88" s="145"/>
      <c r="Q88" s="145"/>
      <c r="R88" s="145"/>
      <c r="S88" s="145"/>
      <c r="T88" s="145"/>
      <c r="U88" s="145"/>
      <c r="V88" s="145"/>
      <c r="W88" s="145"/>
      <c r="X88" s="145"/>
    </row>
    <row r="89" spans="1:24" s="115" customFormat="1" x14ac:dyDescent="0.3">
      <c r="A89" s="98"/>
      <c r="B89" s="98"/>
      <c r="C89" s="98"/>
      <c r="D89" s="98"/>
      <c r="E89" s="98"/>
      <c r="F89" s="98"/>
      <c r="G89" s="98"/>
      <c r="H89" s="98"/>
      <c r="I89" s="98"/>
      <c r="J89" s="98"/>
      <c r="M89" s="140"/>
      <c r="N89" s="141"/>
      <c r="O89" s="98"/>
      <c r="P89" s="147"/>
      <c r="Q89" s="147"/>
      <c r="R89" s="147"/>
      <c r="S89" s="147"/>
      <c r="T89" s="147"/>
      <c r="U89" s="98"/>
      <c r="V89" s="98"/>
      <c r="W89" s="98"/>
      <c r="X89" s="98"/>
    </row>
    <row r="90" spans="1:24" x14ac:dyDescent="0.3">
      <c r="A90" s="115"/>
      <c r="B90" s="115"/>
      <c r="C90" s="115"/>
      <c r="D90" s="115"/>
      <c r="E90" s="115"/>
      <c r="F90" s="115"/>
      <c r="G90" s="115"/>
      <c r="H90" s="115"/>
      <c r="I90" s="115"/>
      <c r="J90" s="115"/>
    </row>
    <row r="93" spans="1:24" x14ac:dyDescent="0.3"/>
    <row r="94" spans="1:24" x14ac:dyDescent="0.3">
      <c r="N94" s="139"/>
      <c r="O94" s="141"/>
      <c r="P94" s="141"/>
      <c r="Q94" s="141"/>
      <c r="R94" s="141"/>
      <c r="S94" s="148"/>
      <c r="T94" s="141"/>
      <c r="U94" s="141"/>
      <c r="V94" s="141"/>
    </row>
    <row r="95" spans="1:24" x14ac:dyDescent="0.3">
      <c r="N95" s="139"/>
      <c r="O95" s="144"/>
      <c r="P95" s="144"/>
      <c r="Q95" s="144"/>
      <c r="R95" s="144"/>
      <c r="S95" s="149"/>
      <c r="T95" s="144"/>
      <c r="U95" s="144"/>
      <c r="V95" s="144"/>
    </row>
    <row r="96" spans="1:24" x14ac:dyDescent="0.3">
      <c r="M96" s="139"/>
      <c r="N96" s="139"/>
      <c r="O96" s="145"/>
      <c r="P96" s="145"/>
      <c r="Q96" s="145"/>
      <c r="R96" s="145"/>
      <c r="S96" s="150"/>
      <c r="T96" s="145"/>
      <c r="U96" s="145"/>
      <c r="V96" s="145"/>
    </row>
    <row r="97" spans="13:19" x14ac:dyDescent="0.3">
      <c r="M97" s="140"/>
      <c r="N97" s="141"/>
      <c r="P97" s="151"/>
      <c r="Q97" s="151"/>
      <c r="R97" s="151"/>
      <c r="S97" s="151"/>
    </row>
  </sheetData>
  <sheetProtection algorithmName="SHA-512" hashValue="/KSHVIt40RHFD8WzC4mZkAcHM3kT+wDx6dDvJlc7HQPwb0ufaMqdNVgraeYqzUN6suVfOTopsjYep8VX8/aRFQ==" saltValue="3STfOxE8q2kHvkkzxhHUfw==" spinCount="100000" sheet="1" objects="1" scenarios="1"/>
  <mergeCells count="67">
    <mergeCell ref="L36:N36"/>
    <mergeCell ref="L37:N37"/>
    <mergeCell ref="L16:N16"/>
    <mergeCell ref="B39:E39"/>
    <mergeCell ref="L40:N40"/>
    <mergeCell ref="L39:N39"/>
    <mergeCell ref="L26:N26"/>
    <mergeCell ref="I18:I24"/>
    <mergeCell ref="F30:J30"/>
    <mergeCell ref="F31:J31"/>
    <mergeCell ref="F32:J32"/>
    <mergeCell ref="J12:J13"/>
    <mergeCell ref="K12:K13"/>
    <mergeCell ref="B38:E38"/>
    <mergeCell ref="A1:K1"/>
    <mergeCell ref="C3:I3"/>
    <mergeCell ref="C5:I5"/>
    <mergeCell ref="A7:B7"/>
    <mergeCell ref="C7:J7"/>
    <mergeCell ref="A9:C9"/>
    <mergeCell ref="A3:B3"/>
    <mergeCell ref="A10:B10"/>
    <mergeCell ref="A5:B5"/>
    <mergeCell ref="B16:E16"/>
    <mergeCell ref="B18:E18"/>
    <mergeCell ref="B22:E22"/>
    <mergeCell ref="B23:E23"/>
    <mergeCell ref="B47:C47"/>
    <mergeCell ref="D47:E47"/>
    <mergeCell ref="B17:E17"/>
    <mergeCell ref="F12:I12"/>
    <mergeCell ref="A12:A13"/>
    <mergeCell ref="B12:E13"/>
    <mergeCell ref="A14:E14"/>
    <mergeCell ref="B44:E44"/>
    <mergeCell ref="B45:E45"/>
    <mergeCell ref="F27:J27"/>
    <mergeCell ref="F28:J28"/>
    <mergeCell ref="F29:J29"/>
    <mergeCell ref="B19:E19"/>
    <mergeCell ref="B27:E27"/>
    <mergeCell ref="B21:E21"/>
    <mergeCell ref="B20:E20"/>
    <mergeCell ref="A54:J54"/>
    <mergeCell ref="B26:E26"/>
    <mergeCell ref="B41:E41"/>
    <mergeCell ref="F41:J41"/>
    <mergeCell ref="A51:G51"/>
    <mergeCell ref="A50:G50"/>
    <mergeCell ref="A49:G49"/>
    <mergeCell ref="B34:E34"/>
    <mergeCell ref="B35:E35"/>
    <mergeCell ref="B29:E29"/>
    <mergeCell ref="B30:E30"/>
    <mergeCell ref="B31:E31"/>
    <mergeCell ref="B32:E32"/>
    <mergeCell ref="B46:E46"/>
    <mergeCell ref="B48:E48"/>
    <mergeCell ref="F33:J33"/>
    <mergeCell ref="A15:E15"/>
    <mergeCell ref="B36:E36"/>
    <mergeCell ref="B37:E37"/>
    <mergeCell ref="B40:E40"/>
    <mergeCell ref="B24:E24"/>
    <mergeCell ref="B28:E28"/>
    <mergeCell ref="B33:E33"/>
    <mergeCell ref="B25:E25"/>
  </mergeCells>
  <conditionalFormatting sqref="F39">
    <cfRule type="expression" dxfId="17" priority="5">
      <formula>$F$39&gt;$F$16</formula>
    </cfRule>
  </conditionalFormatting>
  <conditionalFormatting sqref="F40">
    <cfRule type="expression" dxfId="16" priority="12">
      <formula>$F$40&gt;$F$35</formula>
    </cfRule>
  </conditionalFormatting>
  <conditionalFormatting sqref="G39">
    <cfRule type="expression" dxfId="15" priority="4">
      <formula>$G$39&gt;$G$16</formula>
    </cfRule>
  </conditionalFormatting>
  <conditionalFormatting sqref="G40">
    <cfRule type="expression" dxfId="14" priority="11">
      <formula>$G$40&gt;$G$35</formula>
    </cfRule>
  </conditionalFormatting>
  <conditionalFormatting sqref="H39">
    <cfRule type="expression" dxfId="13" priority="3">
      <formula>$H$39&gt;$H$16</formula>
    </cfRule>
  </conditionalFormatting>
  <conditionalFormatting sqref="H40">
    <cfRule type="expression" dxfId="12" priority="10">
      <formula>$H$40&gt;$H$35</formula>
    </cfRule>
  </conditionalFormatting>
  <conditionalFormatting sqref="I39">
    <cfRule type="expression" dxfId="11" priority="2">
      <formula>$I$39&gt;$I$16</formula>
    </cfRule>
  </conditionalFormatting>
  <conditionalFormatting sqref="I40:J40">
    <cfRule type="expression" dxfId="10" priority="9">
      <formula>$I$40&gt;$J$35</formula>
    </cfRule>
  </conditionalFormatting>
  <conditionalFormatting sqref="J16">
    <cfRule type="expression" dxfId="9" priority="6">
      <formula>$J$16&lt;&gt;$K$16</formula>
    </cfRule>
  </conditionalFormatting>
  <conditionalFormatting sqref="J36">
    <cfRule type="expression" dxfId="8" priority="8">
      <formula>$J$36&lt;&gt;$K$36</formula>
    </cfRule>
  </conditionalFormatting>
  <conditionalFormatting sqref="J37">
    <cfRule type="expression" dxfId="7" priority="7">
      <formula>$J$37&lt;&gt;$K$37</formula>
    </cfRule>
  </conditionalFormatting>
  <conditionalFormatting sqref="J40">
    <cfRule type="expression" dxfId="6" priority="1">
      <formula>$J$40&gt;$J$35</formula>
    </cfRule>
  </conditionalFormatting>
  <dataValidations count="2">
    <dataValidation type="list" allowBlank="1" showInputMessage="1" showErrorMessage="1" sqref="D9 G15" xr:uid="{00000000-0002-0000-0000-000000000000}">
      <formula1>$A$56:$A$57</formula1>
    </dataValidation>
    <dataValidation type="list" allowBlank="1" showInputMessage="1" showErrorMessage="1" sqref="C10" xr:uid="{00000000-0002-0000-0000-000002000000}">
      <formula1>$D$56:$D$59</formula1>
    </dataValidation>
  </dataValidations>
  <pageMargins left="0.7" right="0.7" top="0.75" bottom="0.75" header="0.3" footer="0.3"/>
  <pageSetup paperSize="9" scale="50" orientation="landscape" r:id="rId1"/>
  <ignoredErrors>
    <ignoredError sqref="F16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">
    <pageSetUpPr fitToPage="1"/>
  </sheetPr>
  <dimension ref="A1:C41"/>
  <sheetViews>
    <sheetView showGridLines="0" topLeftCell="A18" zoomScale="90" zoomScaleNormal="90" workbookViewId="0">
      <selection activeCell="A21" sqref="A21:C21"/>
    </sheetView>
  </sheetViews>
  <sheetFormatPr defaultRowHeight="13.8" x14ac:dyDescent="0.25"/>
  <cols>
    <col min="1" max="1" width="15.33203125" style="81" customWidth="1"/>
    <col min="2" max="2" width="23" style="80" customWidth="1"/>
    <col min="3" max="3" width="81.44140625" style="80" customWidth="1"/>
    <col min="4" max="256" width="9.109375" style="80"/>
    <col min="257" max="257" width="1.6640625" style="80" customWidth="1"/>
    <col min="258" max="258" width="19.109375" style="80" customWidth="1"/>
    <col min="259" max="259" width="92.44140625" style="80" customWidth="1"/>
    <col min="260" max="512" width="9.109375" style="80"/>
    <col min="513" max="513" width="1.6640625" style="80" customWidth="1"/>
    <col min="514" max="514" width="19.109375" style="80" customWidth="1"/>
    <col min="515" max="515" width="92.44140625" style="80" customWidth="1"/>
    <col min="516" max="768" width="9.109375" style="80"/>
    <col min="769" max="769" width="1.6640625" style="80" customWidth="1"/>
    <col min="770" max="770" width="19.109375" style="80" customWidth="1"/>
    <col min="771" max="771" width="92.44140625" style="80" customWidth="1"/>
    <col min="772" max="1024" width="9.109375" style="80"/>
    <col min="1025" max="1025" width="1.6640625" style="80" customWidth="1"/>
    <col min="1026" max="1026" width="19.109375" style="80" customWidth="1"/>
    <col min="1027" max="1027" width="92.44140625" style="80" customWidth="1"/>
    <col min="1028" max="1280" width="9.109375" style="80"/>
    <col min="1281" max="1281" width="1.6640625" style="80" customWidth="1"/>
    <col min="1282" max="1282" width="19.109375" style="80" customWidth="1"/>
    <col min="1283" max="1283" width="92.44140625" style="80" customWidth="1"/>
    <col min="1284" max="1536" width="9.109375" style="80"/>
    <col min="1537" max="1537" width="1.6640625" style="80" customWidth="1"/>
    <col min="1538" max="1538" width="19.109375" style="80" customWidth="1"/>
    <col min="1539" max="1539" width="92.44140625" style="80" customWidth="1"/>
    <col min="1540" max="1792" width="9.109375" style="80"/>
    <col min="1793" max="1793" width="1.6640625" style="80" customWidth="1"/>
    <col min="1794" max="1794" width="19.109375" style="80" customWidth="1"/>
    <col min="1795" max="1795" width="92.44140625" style="80" customWidth="1"/>
    <col min="1796" max="2048" width="9.109375" style="80"/>
    <col min="2049" max="2049" width="1.6640625" style="80" customWidth="1"/>
    <col min="2050" max="2050" width="19.109375" style="80" customWidth="1"/>
    <col min="2051" max="2051" width="92.44140625" style="80" customWidth="1"/>
    <col min="2052" max="2304" width="9.109375" style="80"/>
    <col min="2305" max="2305" width="1.6640625" style="80" customWidth="1"/>
    <col min="2306" max="2306" width="19.109375" style="80" customWidth="1"/>
    <col min="2307" max="2307" width="92.44140625" style="80" customWidth="1"/>
    <col min="2308" max="2560" width="9.109375" style="80"/>
    <col min="2561" max="2561" width="1.6640625" style="80" customWidth="1"/>
    <col min="2562" max="2562" width="19.109375" style="80" customWidth="1"/>
    <col min="2563" max="2563" width="92.44140625" style="80" customWidth="1"/>
    <col min="2564" max="2816" width="9.109375" style="80"/>
    <col min="2817" max="2817" width="1.6640625" style="80" customWidth="1"/>
    <col min="2818" max="2818" width="19.109375" style="80" customWidth="1"/>
    <col min="2819" max="2819" width="92.44140625" style="80" customWidth="1"/>
    <col min="2820" max="3072" width="9.109375" style="80"/>
    <col min="3073" max="3073" width="1.6640625" style="80" customWidth="1"/>
    <col min="3074" max="3074" width="19.109375" style="80" customWidth="1"/>
    <col min="3075" max="3075" width="92.44140625" style="80" customWidth="1"/>
    <col min="3076" max="3328" width="9.109375" style="80"/>
    <col min="3329" max="3329" width="1.6640625" style="80" customWidth="1"/>
    <col min="3330" max="3330" width="19.109375" style="80" customWidth="1"/>
    <col min="3331" max="3331" width="92.44140625" style="80" customWidth="1"/>
    <col min="3332" max="3584" width="9.109375" style="80"/>
    <col min="3585" max="3585" width="1.6640625" style="80" customWidth="1"/>
    <col min="3586" max="3586" width="19.109375" style="80" customWidth="1"/>
    <col min="3587" max="3587" width="92.44140625" style="80" customWidth="1"/>
    <col min="3588" max="3840" width="9.109375" style="80"/>
    <col min="3841" max="3841" width="1.6640625" style="80" customWidth="1"/>
    <col min="3842" max="3842" width="19.109375" style="80" customWidth="1"/>
    <col min="3843" max="3843" width="92.44140625" style="80" customWidth="1"/>
    <col min="3844" max="4096" width="9.109375" style="80"/>
    <col min="4097" max="4097" width="1.6640625" style="80" customWidth="1"/>
    <col min="4098" max="4098" width="19.109375" style="80" customWidth="1"/>
    <col min="4099" max="4099" width="92.44140625" style="80" customWidth="1"/>
    <col min="4100" max="4352" width="9.109375" style="80"/>
    <col min="4353" max="4353" width="1.6640625" style="80" customWidth="1"/>
    <col min="4354" max="4354" width="19.109375" style="80" customWidth="1"/>
    <col min="4355" max="4355" width="92.44140625" style="80" customWidth="1"/>
    <col min="4356" max="4608" width="9.109375" style="80"/>
    <col min="4609" max="4609" width="1.6640625" style="80" customWidth="1"/>
    <col min="4610" max="4610" width="19.109375" style="80" customWidth="1"/>
    <col min="4611" max="4611" width="92.44140625" style="80" customWidth="1"/>
    <col min="4612" max="4864" width="9.109375" style="80"/>
    <col min="4865" max="4865" width="1.6640625" style="80" customWidth="1"/>
    <col min="4866" max="4866" width="19.109375" style="80" customWidth="1"/>
    <col min="4867" max="4867" width="92.44140625" style="80" customWidth="1"/>
    <col min="4868" max="5120" width="9.109375" style="80"/>
    <col min="5121" max="5121" width="1.6640625" style="80" customWidth="1"/>
    <col min="5122" max="5122" width="19.109375" style="80" customWidth="1"/>
    <col min="5123" max="5123" width="92.44140625" style="80" customWidth="1"/>
    <col min="5124" max="5376" width="9.109375" style="80"/>
    <col min="5377" max="5377" width="1.6640625" style="80" customWidth="1"/>
    <col min="5378" max="5378" width="19.109375" style="80" customWidth="1"/>
    <col min="5379" max="5379" width="92.44140625" style="80" customWidth="1"/>
    <col min="5380" max="5632" width="9.109375" style="80"/>
    <col min="5633" max="5633" width="1.6640625" style="80" customWidth="1"/>
    <col min="5634" max="5634" width="19.109375" style="80" customWidth="1"/>
    <col min="5635" max="5635" width="92.44140625" style="80" customWidth="1"/>
    <col min="5636" max="5888" width="9.109375" style="80"/>
    <col min="5889" max="5889" width="1.6640625" style="80" customWidth="1"/>
    <col min="5890" max="5890" width="19.109375" style="80" customWidth="1"/>
    <col min="5891" max="5891" width="92.44140625" style="80" customWidth="1"/>
    <col min="5892" max="6144" width="9.109375" style="80"/>
    <col min="6145" max="6145" width="1.6640625" style="80" customWidth="1"/>
    <col min="6146" max="6146" width="19.109375" style="80" customWidth="1"/>
    <col min="6147" max="6147" width="92.44140625" style="80" customWidth="1"/>
    <col min="6148" max="6400" width="9.109375" style="80"/>
    <col min="6401" max="6401" width="1.6640625" style="80" customWidth="1"/>
    <col min="6402" max="6402" width="19.109375" style="80" customWidth="1"/>
    <col min="6403" max="6403" width="92.44140625" style="80" customWidth="1"/>
    <col min="6404" max="6656" width="9.109375" style="80"/>
    <col min="6657" max="6657" width="1.6640625" style="80" customWidth="1"/>
    <col min="6658" max="6658" width="19.109375" style="80" customWidth="1"/>
    <col min="6659" max="6659" width="92.44140625" style="80" customWidth="1"/>
    <col min="6660" max="6912" width="9.109375" style="80"/>
    <col min="6913" max="6913" width="1.6640625" style="80" customWidth="1"/>
    <col min="6914" max="6914" width="19.109375" style="80" customWidth="1"/>
    <col min="6915" max="6915" width="92.44140625" style="80" customWidth="1"/>
    <col min="6916" max="7168" width="9.109375" style="80"/>
    <col min="7169" max="7169" width="1.6640625" style="80" customWidth="1"/>
    <col min="7170" max="7170" width="19.109375" style="80" customWidth="1"/>
    <col min="7171" max="7171" width="92.44140625" style="80" customWidth="1"/>
    <col min="7172" max="7424" width="9.109375" style="80"/>
    <col min="7425" max="7425" width="1.6640625" style="80" customWidth="1"/>
    <col min="7426" max="7426" width="19.109375" style="80" customWidth="1"/>
    <col min="7427" max="7427" width="92.44140625" style="80" customWidth="1"/>
    <col min="7428" max="7680" width="9.109375" style="80"/>
    <col min="7681" max="7681" width="1.6640625" style="80" customWidth="1"/>
    <col min="7682" max="7682" width="19.109375" style="80" customWidth="1"/>
    <col min="7683" max="7683" width="92.44140625" style="80" customWidth="1"/>
    <col min="7684" max="7936" width="9.109375" style="80"/>
    <col min="7937" max="7937" width="1.6640625" style="80" customWidth="1"/>
    <col min="7938" max="7938" width="19.109375" style="80" customWidth="1"/>
    <col min="7939" max="7939" width="92.44140625" style="80" customWidth="1"/>
    <col min="7940" max="8192" width="9.109375" style="80"/>
    <col min="8193" max="8193" width="1.6640625" style="80" customWidth="1"/>
    <col min="8194" max="8194" width="19.109375" style="80" customWidth="1"/>
    <col min="8195" max="8195" width="92.44140625" style="80" customWidth="1"/>
    <col min="8196" max="8448" width="9.109375" style="80"/>
    <col min="8449" max="8449" width="1.6640625" style="80" customWidth="1"/>
    <col min="8450" max="8450" width="19.109375" style="80" customWidth="1"/>
    <col min="8451" max="8451" width="92.44140625" style="80" customWidth="1"/>
    <col min="8452" max="8704" width="9.109375" style="80"/>
    <col min="8705" max="8705" width="1.6640625" style="80" customWidth="1"/>
    <col min="8706" max="8706" width="19.109375" style="80" customWidth="1"/>
    <col min="8707" max="8707" width="92.44140625" style="80" customWidth="1"/>
    <col min="8708" max="8960" width="9.109375" style="80"/>
    <col min="8961" max="8961" width="1.6640625" style="80" customWidth="1"/>
    <col min="8962" max="8962" width="19.109375" style="80" customWidth="1"/>
    <col min="8963" max="8963" width="92.44140625" style="80" customWidth="1"/>
    <col min="8964" max="9216" width="9.109375" style="80"/>
    <col min="9217" max="9217" width="1.6640625" style="80" customWidth="1"/>
    <col min="9218" max="9218" width="19.109375" style="80" customWidth="1"/>
    <col min="9219" max="9219" width="92.44140625" style="80" customWidth="1"/>
    <col min="9220" max="9472" width="9.109375" style="80"/>
    <col min="9473" max="9473" width="1.6640625" style="80" customWidth="1"/>
    <col min="9474" max="9474" width="19.109375" style="80" customWidth="1"/>
    <col min="9475" max="9475" width="92.44140625" style="80" customWidth="1"/>
    <col min="9476" max="9728" width="9.109375" style="80"/>
    <col min="9729" max="9729" width="1.6640625" style="80" customWidth="1"/>
    <col min="9730" max="9730" width="19.109375" style="80" customWidth="1"/>
    <col min="9731" max="9731" width="92.44140625" style="80" customWidth="1"/>
    <col min="9732" max="9984" width="9.109375" style="80"/>
    <col min="9985" max="9985" width="1.6640625" style="80" customWidth="1"/>
    <col min="9986" max="9986" width="19.109375" style="80" customWidth="1"/>
    <col min="9987" max="9987" width="92.44140625" style="80" customWidth="1"/>
    <col min="9988" max="10240" width="9.109375" style="80"/>
    <col min="10241" max="10241" width="1.6640625" style="80" customWidth="1"/>
    <col min="10242" max="10242" width="19.109375" style="80" customWidth="1"/>
    <col min="10243" max="10243" width="92.44140625" style="80" customWidth="1"/>
    <col min="10244" max="10496" width="9.109375" style="80"/>
    <col min="10497" max="10497" width="1.6640625" style="80" customWidth="1"/>
    <col min="10498" max="10498" width="19.109375" style="80" customWidth="1"/>
    <col min="10499" max="10499" width="92.44140625" style="80" customWidth="1"/>
    <col min="10500" max="10752" width="9.109375" style="80"/>
    <col min="10753" max="10753" width="1.6640625" style="80" customWidth="1"/>
    <col min="10754" max="10754" width="19.109375" style="80" customWidth="1"/>
    <col min="10755" max="10755" width="92.44140625" style="80" customWidth="1"/>
    <col min="10756" max="11008" width="9.109375" style="80"/>
    <col min="11009" max="11009" width="1.6640625" style="80" customWidth="1"/>
    <col min="11010" max="11010" width="19.109375" style="80" customWidth="1"/>
    <col min="11011" max="11011" width="92.44140625" style="80" customWidth="1"/>
    <col min="11012" max="11264" width="9.109375" style="80"/>
    <col min="11265" max="11265" width="1.6640625" style="80" customWidth="1"/>
    <col min="11266" max="11266" width="19.109375" style="80" customWidth="1"/>
    <col min="11267" max="11267" width="92.44140625" style="80" customWidth="1"/>
    <col min="11268" max="11520" width="9.109375" style="80"/>
    <col min="11521" max="11521" width="1.6640625" style="80" customWidth="1"/>
    <col min="11522" max="11522" width="19.109375" style="80" customWidth="1"/>
    <col min="11523" max="11523" width="92.44140625" style="80" customWidth="1"/>
    <col min="11524" max="11776" width="9.109375" style="80"/>
    <col min="11777" max="11777" width="1.6640625" style="80" customWidth="1"/>
    <col min="11778" max="11778" width="19.109375" style="80" customWidth="1"/>
    <col min="11779" max="11779" width="92.44140625" style="80" customWidth="1"/>
    <col min="11780" max="12032" width="9.109375" style="80"/>
    <col min="12033" max="12033" width="1.6640625" style="80" customWidth="1"/>
    <col min="12034" max="12034" width="19.109375" style="80" customWidth="1"/>
    <col min="12035" max="12035" width="92.44140625" style="80" customWidth="1"/>
    <col min="12036" max="12288" width="9.109375" style="80"/>
    <col min="12289" max="12289" width="1.6640625" style="80" customWidth="1"/>
    <col min="12290" max="12290" width="19.109375" style="80" customWidth="1"/>
    <col min="12291" max="12291" width="92.44140625" style="80" customWidth="1"/>
    <col min="12292" max="12544" width="9.109375" style="80"/>
    <col min="12545" max="12545" width="1.6640625" style="80" customWidth="1"/>
    <col min="12546" max="12546" width="19.109375" style="80" customWidth="1"/>
    <col min="12547" max="12547" width="92.44140625" style="80" customWidth="1"/>
    <col min="12548" max="12800" width="9.109375" style="80"/>
    <col min="12801" max="12801" width="1.6640625" style="80" customWidth="1"/>
    <col min="12802" max="12802" width="19.109375" style="80" customWidth="1"/>
    <col min="12803" max="12803" width="92.44140625" style="80" customWidth="1"/>
    <col min="12804" max="13056" width="9.109375" style="80"/>
    <col min="13057" max="13057" width="1.6640625" style="80" customWidth="1"/>
    <col min="13058" max="13058" width="19.109375" style="80" customWidth="1"/>
    <col min="13059" max="13059" width="92.44140625" style="80" customWidth="1"/>
    <col min="13060" max="13312" width="9.109375" style="80"/>
    <col min="13313" max="13313" width="1.6640625" style="80" customWidth="1"/>
    <col min="13314" max="13314" width="19.109375" style="80" customWidth="1"/>
    <col min="13315" max="13315" width="92.44140625" style="80" customWidth="1"/>
    <col min="13316" max="13568" width="9.109375" style="80"/>
    <col min="13569" max="13569" width="1.6640625" style="80" customWidth="1"/>
    <col min="13570" max="13570" width="19.109375" style="80" customWidth="1"/>
    <col min="13571" max="13571" width="92.44140625" style="80" customWidth="1"/>
    <col min="13572" max="13824" width="9.109375" style="80"/>
    <col min="13825" max="13825" width="1.6640625" style="80" customWidth="1"/>
    <col min="13826" max="13826" width="19.109375" style="80" customWidth="1"/>
    <col min="13827" max="13827" width="92.44140625" style="80" customWidth="1"/>
    <col min="13828" max="14080" width="9.109375" style="80"/>
    <col min="14081" max="14081" width="1.6640625" style="80" customWidth="1"/>
    <col min="14082" max="14082" width="19.109375" style="80" customWidth="1"/>
    <col min="14083" max="14083" width="92.44140625" style="80" customWidth="1"/>
    <col min="14084" max="14336" width="9.109375" style="80"/>
    <col min="14337" max="14337" width="1.6640625" style="80" customWidth="1"/>
    <col min="14338" max="14338" width="19.109375" style="80" customWidth="1"/>
    <col min="14339" max="14339" width="92.44140625" style="80" customWidth="1"/>
    <col min="14340" max="14592" width="9.109375" style="80"/>
    <col min="14593" max="14593" width="1.6640625" style="80" customWidth="1"/>
    <col min="14594" max="14594" width="19.109375" style="80" customWidth="1"/>
    <col min="14595" max="14595" width="92.44140625" style="80" customWidth="1"/>
    <col min="14596" max="14848" width="9.109375" style="80"/>
    <col min="14849" max="14849" width="1.6640625" style="80" customWidth="1"/>
    <col min="14850" max="14850" width="19.109375" style="80" customWidth="1"/>
    <col min="14851" max="14851" width="92.44140625" style="80" customWidth="1"/>
    <col min="14852" max="15104" width="9.109375" style="80"/>
    <col min="15105" max="15105" width="1.6640625" style="80" customWidth="1"/>
    <col min="15106" max="15106" width="19.109375" style="80" customWidth="1"/>
    <col min="15107" max="15107" width="92.44140625" style="80" customWidth="1"/>
    <col min="15108" max="15360" width="9.109375" style="80"/>
    <col min="15361" max="15361" width="1.6640625" style="80" customWidth="1"/>
    <col min="15362" max="15362" width="19.109375" style="80" customWidth="1"/>
    <col min="15363" max="15363" width="92.44140625" style="80" customWidth="1"/>
    <col min="15364" max="15616" width="9.109375" style="80"/>
    <col min="15617" max="15617" width="1.6640625" style="80" customWidth="1"/>
    <col min="15618" max="15618" width="19.109375" style="80" customWidth="1"/>
    <col min="15619" max="15619" width="92.44140625" style="80" customWidth="1"/>
    <col min="15620" max="15872" width="9.109375" style="80"/>
    <col min="15873" max="15873" width="1.6640625" style="80" customWidth="1"/>
    <col min="15874" max="15874" width="19.109375" style="80" customWidth="1"/>
    <col min="15875" max="15875" width="92.44140625" style="80" customWidth="1"/>
    <col min="15876" max="16128" width="9.109375" style="80"/>
    <col min="16129" max="16129" width="1.6640625" style="80" customWidth="1"/>
    <col min="16130" max="16130" width="19.109375" style="80" customWidth="1"/>
    <col min="16131" max="16131" width="92.44140625" style="80" customWidth="1"/>
    <col min="16132" max="16384" width="9.109375" style="80"/>
  </cols>
  <sheetData>
    <row r="1" spans="1:3" ht="18" customHeight="1" x14ac:dyDescent="0.25">
      <c r="A1" s="287" t="s">
        <v>78</v>
      </c>
      <c r="B1" s="287"/>
      <c r="C1" s="287"/>
    </row>
    <row r="2" spans="1:3" ht="41.25" customHeight="1" x14ac:dyDescent="0.25">
      <c r="A2" s="285" t="s">
        <v>168</v>
      </c>
      <c r="B2" s="285"/>
      <c r="C2" s="285"/>
    </row>
    <row r="3" spans="1:3" ht="99.6" customHeight="1" x14ac:dyDescent="0.25">
      <c r="A3" s="285" t="s">
        <v>162</v>
      </c>
      <c r="B3" s="285"/>
      <c r="C3" s="285"/>
    </row>
    <row r="4" spans="1:3" ht="66.75" customHeight="1" x14ac:dyDescent="0.25">
      <c r="A4" s="285" t="s">
        <v>167</v>
      </c>
      <c r="B4" s="285"/>
      <c r="C4" s="285"/>
    </row>
    <row r="5" spans="1:3" ht="79.5" customHeight="1" x14ac:dyDescent="0.25">
      <c r="A5" s="285" t="s">
        <v>154</v>
      </c>
      <c r="B5" s="285"/>
      <c r="C5" s="285"/>
    </row>
    <row r="6" spans="1:3" ht="51" customHeight="1" x14ac:dyDescent="0.25">
      <c r="A6" s="285" t="s">
        <v>155</v>
      </c>
      <c r="B6" s="285"/>
      <c r="C6" s="285"/>
    </row>
    <row r="7" spans="1:3" ht="27.75" customHeight="1" x14ac:dyDescent="0.25">
      <c r="A7" s="285" t="s">
        <v>163</v>
      </c>
      <c r="B7" s="285"/>
      <c r="C7" s="285"/>
    </row>
    <row r="8" spans="1:3" ht="16.5" customHeight="1" x14ac:dyDescent="0.25">
      <c r="A8" s="288" t="s">
        <v>157</v>
      </c>
      <c r="B8" s="288"/>
      <c r="C8" s="288"/>
    </row>
    <row r="9" spans="1:3" ht="16.5" customHeight="1" x14ac:dyDescent="0.25">
      <c r="A9" s="285" t="s">
        <v>158</v>
      </c>
      <c r="B9" s="285"/>
      <c r="C9" s="285"/>
    </row>
    <row r="10" spans="1:3" ht="44.25" customHeight="1" x14ac:dyDescent="0.25">
      <c r="A10" s="285" t="s">
        <v>159</v>
      </c>
      <c r="B10" s="285"/>
      <c r="C10" s="285"/>
    </row>
    <row r="11" spans="1:3" ht="52.5" customHeight="1" x14ac:dyDescent="0.25">
      <c r="A11" s="285" t="s">
        <v>170</v>
      </c>
      <c r="B11" s="285"/>
      <c r="C11" s="285"/>
    </row>
    <row r="12" spans="1:3" ht="109.2" customHeight="1" x14ac:dyDescent="0.25">
      <c r="A12" s="285" t="s">
        <v>171</v>
      </c>
      <c r="B12" s="285"/>
      <c r="C12" s="285"/>
    </row>
    <row r="13" spans="1:3" ht="39.6" customHeight="1" x14ac:dyDescent="0.25">
      <c r="A13" s="285" t="s">
        <v>164</v>
      </c>
      <c r="B13" s="285"/>
      <c r="C13" s="285"/>
    </row>
    <row r="14" spans="1:3" ht="16.5" customHeight="1" x14ac:dyDescent="0.25">
      <c r="A14" s="288" t="s">
        <v>99</v>
      </c>
      <c r="B14" s="288"/>
      <c r="C14" s="288"/>
    </row>
    <row r="15" spans="1:3" ht="75.75" customHeight="1" x14ac:dyDescent="0.25">
      <c r="A15" s="285" t="s">
        <v>160</v>
      </c>
      <c r="B15" s="285"/>
      <c r="C15" s="285"/>
    </row>
    <row r="16" spans="1:3" ht="36.75" customHeight="1" x14ac:dyDescent="0.25">
      <c r="A16" s="285" t="s">
        <v>172</v>
      </c>
      <c r="B16" s="285"/>
      <c r="C16" s="285"/>
    </row>
    <row r="17" spans="1:3" ht="109.8" customHeight="1" x14ac:dyDescent="0.25">
      <c r="A17" s="286" t="s">
        <v>173</v>
      </c>
      <c r="B17" s="285"/>
      <c r="C17" s="285"/>
    </row>
    <row r="18" spans="1:3" ht="64.8" customHeight="1" x14ac:dyDescent="0.25">
      <c r="A18" s="286" t="s">
        <v>165</v>
      </c>
      <c r="B18" s="285"/>
      <c r="C18" s="285"/>
    </row>
    <row r="19" spans="1:3" ht="39" customHeight="1" x14ac:dyDescent="0.25">
      <c r="A19" s="286" t="s">
        <v>161</v>
      </c>
      <c r="B19" s="285"/>
      <c r="C19" s="285"/>
    </row>
    <row r="20" spans="1:3" ht="108" customHeight="1" x14ac:dyDescent="0.25">
      <c r="A20" s="286" t="s">
        <v>166</v>
      </c>
      <c r="B20" s="285"/>
      <c r="C20" s="285"/>
    </row>
    <row r="21" spans="1:3" ht="104.25" customHeight="1" x14ac:dyDescent="0.25">
      <c r="A21" s="286" t="s">
        <v>169</v>
      </c>
      <c r="B21" s="285"/>
      <c r="C21" s="285"/>
    </row>
    <row r="22" spans="1:3" ht="94.5" customHeight="1" x14ac:dyDescent="0.25">
      <c r="A22" s="286"/>
      <c r="B22" s="285"/>
      <c r="C22" s="285"/>
    </row>
    <row r="23" spans="1:3" ht="94.5" customHeight="1" x14ac:dyDescent="0.25">
      <c r="A23" s="286"/>
      <c r="B23" s="285"/>
      <c r="C23" s="285"/>
    </row>
    <row r="24" spans="1:3" ht="161.25" customHeight="1" x14ac:dyDescent="0.25">
      <c r="A24" s="286"/>
      <c r="B24" s="285"/>
      <c r="C24" s="285"/>
    </row>
    <row r="25" spans="1:3" ht="68.25" customHeight="1" x14ac:dyDescent="0.25">
      <c r="A25" s="286"/>
      <c r="B25" s="286"/>
      <c r="C25" s="286"/>
    </row>
    <row r="26" spans="1:3" ht="68.25" customHeight="1" x14ac:dyDescent="0.25">
      <c r="A26" s="285"/>
      <c r="B26" s="285"/>
      <c r="C26" s="285"/>
    </row>
    <row r="27" spans="1:3" ht="51" customHeight="1" x14ac:dyDescent="0.25">
      <c r="A27" s="286"/>
      <c r="B27" s="286"/>
      <c r="C27" s="286"/>
    </row>
    <row r="28" spans="1:3" s="79" customFormat="1" ht="67.5" customHeight="1" x14ac:dyDescent="0.25">
      <c r="A28" s="289"/>
      <c r="B28" s="289"/>
      <c r="C28" s="289"/>
    </row>
    <row r="29" spans="1:3" ht="23.25" customHeight="1" x14ac:dyDescent="0.25">
      <c r="A29" s="288"/>
      <c r="B29" s="288"/>
      <c r="C29" s="288"/>
    </row>
    <row r="30" spans="1:3" x14ac:dyDescent="0.25">
      <c r="A30" s="285"/>
      <c r="B30" s="285"/>
      <c r="C30" s="285"/>
    </row>
    <row r="34" spans="1:3" ht="62.25" customHeight="1" x14ac:dyDescent="0.25">
      <c r="A34" s="285"/>
      <c r="B34" s="285"/>
      <c r="C34" s="285"/>
    </row>
    <row r="35" spans="1:3" ht="24" customHeight="1" x14ac:dyDescent="0.25">
      <c r="A35" s="285"/>
      <c r="B35" s="285"/>
      <c r="C35" s="285"/>
    </row>
    <row r="36" spans="1:3" ht="48.75" customHeight="1" x14ac:dyDescent="0.25">
      <c r="A36" s="285"/>
      <c r="B36" s="285"/>
      <c r="C36" s="285"/>
    </row>
    <row r="37" spans="1:3" ht="65.25" customHeight="1" x14ac:dyDescent="0.25">
      <c r="A37" s="285"/>
      <c r="B37" s="285"/>
      <c r="C37" s="285"/>
    </row>
    <row r="38" spans="1:3" ht="32.25" customHeight="1" x14ac:dyDescent="0.25">
      <c r="A38" s="285"/>
      <c r="B38" s="285"/>
      <c r="C38" s="285"/>
    </row>
    <row r="39" spans="1:3" ht="48.75" customHeight="1" x14ac:dyDescent="0.25">
      <c r="A39" s="285"/>
      <c r="B39" s="285"/>
      <c r="C39" s="285"/>
    </row>
    <row r="40" spans="1:3" ht="33.75" customHeight="1" x14ac:dyDescent="0.25">
      <c r="A40" s="285"/>
      <c r="B40" s="285"/>
      <c r="C40" s="285"/>
    </row>
    <row r="41" spans="1:3" x14ac:dyDescent="0.25">
      <c r="A41" s="285"/>
      <c r="B41" s="285"/>
      <c r="C41" s="285"/>
    </row>
  </sheetData>
  <sheetProtection algorithmName="SHA-512" hashValue="jlOcpaGCIwRS0D3jht1pM+Dhx6K9eEXFtAoxcpQWxzL41FDIRMYI4VDj8b6pWjFcSCQMtyFeeEOkXB69Zbz0yg==" saltValue="wP57vn6uWB2SWo6Z04DrtA==" spinCount="100000" sheet="1" objects="1" scenarios="1"/>
  <mergeCells count="38">
    <mergeCell ref="A38:C38"/>
    <mergeCell ref="A39:C39"/>
    <mergeCell ref="A40:C40"/>
    <mergeCell ref="A41:C41"/>
    <mergeCell ref="A34:C34"/>
    <mergeCell ref="A35:C35"/>
    <mergeCell ref="A36:C36"/>
    <mergeCell ref="A37:C37"/>
    <mergeCell ref="A29:C29"/>
    <mergeCell ref="A30:C30"/>
    <mergeCell ref="A7:C7"/>
    <mergeCell ref="A11:C11"/>
    <mergeCell ref="A28:C28"/>
    <mergeCell ref="A10:C10"/>
    <mergeCell ref="A15:C15"/>
    <mergeCell ref="A24:C24"/>
    <mergeCell ref="A27:C27"/>
    <mergeCell ref="A26:C26"/>
    <mergeCell ref="A12:C12"/>
    <mergeCell ref="A13:C13"/>
    <mergeCell ref="A14:C14"/>
    <mergeCell ref="A1:C1"/>
    <mergeCell ref="A2:C2"/>
    <mergeCell ref="A8:C8"/>
    <mergeCell ref="A9:C9"/>
    <mergeCell ref="A3:C3"/>
    <mergeCell ref="A4:C4"/>
    <mergeCell ref="A5:C5"/>
    <mergeCell ref="A6:C6"/>
    <mergeCell ref="A16:C16"/>
    <mergeCell ref="A17:C17"/>
    <mergeCell ref="A25:C25"/>
    <mergeCell ref="A18:C18"/>
    <mergeCell ref="A19:C19"/>
    <mergeCell ref="A23:C23"/>
    <mergeCell ref="A20:C20"/>
    <mergeCell ref="A21:C21"/>
    <mergeCell ref="A22:C22"/>
  </mergeCells>
  <pageMargins left="0.70866141732283472" right="0.70866141732283472" top="0.51181102362204722" bottom="0.43307086614173229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A1:AQ142"/>
  <sheetViews>
    <sheetView topLeftCell="A12" zoomScaleNormal="100" workbookViewId="0">
      <selection activeCell="AP63" sqref="AP63"/>
    </sheetView>
  </sheetViews>
  <sheetFormatPr defaultColWidth="9.109375" defaultRowHeight="14.4" x14ac:dyDescent="0.3"/>
  <cols>
    <col min="1" max="1" width="14.33203125" customWidth="1"/>
    <col min="2" max="2" width="10" customWidth="1"/>
    <col min="3" max="3" width="10.109375" style="1" hidden="1" customWidth="1"/>
    <col min="4" max="4" width="9.44140625" style="1" hidden="1" customWidth="1"/>
    <col min="5" max="5" width="12.5546875" style="1" hidden="1" customWidth="1"/>
    <col min="6" max="6" width="11.6640625" style="1" hidden="1" customWidth="1"/>
    <col min="7" max="7" width="15.33203125" hidden="1" customWidth="1"/>
    <col min="8" max="8" width="15.44140625" style="1" hidden="1" customWidth="1"/>
    <col min="9" max="9" width="15" hidden="1" customWidth="1"/>
    <col min="10" max="10" width="15.6640625" style="1" hidden="1" customWidth="1"/>
    <col min="11" max="11" width="22.88671875" customWidth="1"/>
    <col min="12" max="12" width="21.44140625" customWidth="1"/>
    <col min="13" max="13" width="16.33203125" style="1" hidden="1" customWidth="1"/>
    <col min="14" max="14" width="13.5546875" style="1" hidden="1" customWidth="1"/>
    <col min="15" max="17" width="13.109375" style="1" hidden="1" customWidth="1"/>
    <col min="18" max="18" width="17.88671875" style="1" hidden="1" customWidth="1"/>
    <col min="19" max="19" width="22.33203125" customWidth="1"/>
    <col min="20" max="20" width="19.44140625" customWidth="1"/>
    <col min="21" max="21" width="18.44140625" customWidth="1"/>
    <col min="22" max="22" width="15" style="1" hidden="1" customWidth="1"/>
    <col min="23" max="23" width="14.5546875" style="1" hidden="1" customWidth="1"/>
    <col min="24" max="24" width="16.5546875" customWidth="1"/>
    <col min="25" max="25" width="10.6640625" style="1" hidden="1" customWidth="1"/>
    <col min="26" max="26" width="15.44140625" style="2" hidden="1" customWidth="1"/>
    <col min="27" max="27" width="13.5546875" style="2" hidden="1" customWidth="1"/>
    <col min="28" max="28" width="12.88671875" style="2" hidden="1" customWidth="1"/>
    <col min="29" max="29" width="8.6640625" style="2" hidden="1" customWidth="1"/>
    <col min="30" max="30" width="9.109375" style="2" hidden="1" customWidth="1"/>
    <col min="31" max="31" width="8.44140625" style="2" hidden="1" customWidth="1"/>
    <col min="32" max="32" width="12.88671875" style="2" hidden="1" customWidth="1"/>
    <col min="33" max="33" width="9.109375" style="2" hidden="1" customWidth="1"/>
    <col min="34" max="34" width="22.88671875" hidden="1" customWidth="1"/>
    <col min="35" max="39" width="9.109375" hidden="1" customWidth="1"/>
    <col min="40" max="40" width="14.44140625" hidden="1" customWidth="1"/>
    <col min="41" max="41" width="11.5546875" hidden="1" customWidth="1"/>
    <col min="42" max="42" width="93.109375" customWidth="1"/>
    <col min="43" max="43" width="54.33203125" customWidth="1"/>
    <col min="44" max="44" width="16.44140625" customWidth="1"/>
  </cols>
  <sheetData>
    <row r="1" spans="1:41" ht="5.25" hidden="1" customHeight="1" x14ac:dyDescent="0.3"/>
    <row r="2" spans="1:41" ht="12" hidden="1" customHeight="1" x14ac:dyDescent="0.3"/>
    <row r="3" spans="1:41" ht="13.5" hidden="1" customHeight="1" x14ac:dyDescent="0.3">
      <c r="A3" s="290" t="s">
        <v>16</v>
      </c>
      <c r="B3" s="291"/>
      <c r="C3" s="3"/>
      <c r="D3" s="3"/>
      <c r="E3" s="3"/>
      <c r="F3" s="3"/>
      <c r="G3" s="4"/>
      <c r="H3" s="3"/>
      <c r="I3" s="4"/>
      <c r="J3" s="5"/>
      <c r="K3" s="6" t="s">
        <v>17</v>
      </c>
    </row>
    <row r="4" spans="1:41" ht="15" hidden="1" customHeight="1" x14ac:dyDescent="0.3">
      <c r="A4" s="292"/>
      <c r="B4" s="293"/>
      <c r="C4" s="3"/>
      <c r="D4" s="3"/>
      <c r="E4" s="3"/>
      <c r="F4" s="3"/>
      <c r="G4" s="4"/>
      <c r="H4" s="3"/>
      <c r="I4" s="4"/>
      <c r="J4" s="5"/>
    </row>
    <row r="5" spans="1:41" ht="27.75" hidden="1" customHeight="1" x14ac:dyDescent="0.3">
      <c r="A5" s="290" t="s">
        <v>18</v>
      </c>
      <c r="B5" s="291"/>
      <c r="C5" s="7"/>
      <c r="D5" s="7"/>
      <c r="E5" s="7"/>
      <c r="F5" s="7"/>
      <c r="G5" s="7"/>
      <c r="H5" s="7"/>
      <c r="I5" s="7"/>
      <c r="J5" s="7"/>
      <c r="K5" s="8">
        <v>0</v>
      </c>
    </row>
    <row r="6" spans="1:41" ht="18.75" hidden="1" customHeight="1" x14ac:dyDescent="0.3">
      <c r="A6" s="7"/>
      <c r="B6" s="9"/>
      <c r="T6" s="27" t="s">
        <v>29</v>
      </c>
      <c r="U6" s="52"/>
      <c r="V6" s="29"/>
      <c r="W6" s="29"/>
      <c r="X6" s="30"/>
    </row>
    <row r="7" spans="1:41" hidden="1" x14ac:dyDescent="0.3">
      <c r="U7" s="10" t="s">
        <v>2</v>
      </c>
      <c r="X7" s="10" t="s">
        <v>19</v>
      </c>
    </row>
    <row r="8" spans="1:41" ht="14.25" hidden="1" customHeight="1" x14ac:dyDescent="0.3">
      <c r="A8" s="11" t="s">
        <v>20</v>
      </c>
      <c r="B8" s="12">
        <f>+G33</f>
        <v>0</v>
      </c>
      <c r="X8" s="12">
        <f>+H33</f>
        <v>0</v>
      </c>
      <c r="Z8" s="13" t="s">
        <v>21</v>
      </c>
      <c r="AA8" s="14"/>
      <c r="AB8" s="15"/>
      <c r="AD8" s="14">
        <f>ROUND(Y33,2)</f>
        <v>0</v>
      </c>
      <c r="AE8" s="16" t="s">
        <v>17</v>
      </c>
    </row>
    <row r="9" spans="1:41" s="1" customFormat="1" ht="12.75" hidden="1" customHeight="1" x14ac:dyDescent="0.3">
      <c r="A9" s="17"/>
      <c r="B9" s="17">
        <f>YEAR(K15)</f>
        <v>2019</v>
      </c>
      <c r="S9"/>
      <c r="T9" s="3"/>
      <c r="U9" s="3"/>
      <c r="V9" s="18">
        <f>+L23</f>
        <v>0</v>
      </c>
      <c r="W9" s="19">
        <f>T19</f>
        <v>0</v>
      </c>
      <c r="X9" s="3"/>
      <c r="Z9" s="20" t="s">
        <v>22</v>
      </c>
      <c r="AA9" s="21"/>
      <c r="AB9" s="2"/>
      <c r="AC9" s="2"/>
      <c r="AD9" s="21">
        <f>+U17+AD8</f>
        <v>0</v>
      </c>
      <c r="AE9" s="16" t="s">
        <v>23</v>
      </c>
      <c r="AF9" s="2"/>
      <c r="AG9" s="2"/>
    </row>
    <row r="10" spans="1:41" s="1" customFormat="1" ht="12.75" hidden="1" customHeight="1" x14ac:dyDescent="0.3">
      <c r="A10" s="17"/>
      <c r="B10" s="17">
        <f>ROUNDUP((MONTH(K15))/3,0)</f>
        <v>2</v>
      </c>
      <c r="S10"/>
      <c r="T10" s="11" t="s">
        <v>24</v>
      </c>
      <c r="U10" s="12">
        <f>+I33</f>
        <v>0</v>
      </c>
      <c r="V10" s="18">
        <f>1-V9</f>
        <v>1</v>
      </c>
      <c r="W10" s="19">
        <f>T18-W9</f>
        <v>0</v>
      </c>
      <c r="X10" s="12">
        <f>+J33</f>
        <v>0</v>
      </c>
      <c r="Z10" s="2"/>
      <c r="AA10" s="2"/>
      <c r="AB10" s="2"/>
      <c r="AC10" s="2"/>
      <c r="AD10" s="2"/>
      <c r="AE10" s="2"/>
      <c r="AF10" s="2"/>
      <c r="AG10" s="2"/>
    </row>
    <row r="11" spans="1:41" s="1" customFormat="1" ht="12.75" hidden="1" customHeight="1" x14ac:dyDescent="0.3">
      <c r="A11" s="17"/>
      <c r="B11" s="17">
        <f>+(B9-2014)*4+B10</f>
        <v>22</v>
      </c>
      <c r="S11"/>
      <c r="T11" s="11" t="s">
        <v>25</v>
      </c>
      <c r="U11" s="22"/>
      <c r="X11" s="12">
        <f>+X8-X10</f>
        <v>0</v>
      </c>
      <c r="Z11" s="2"/>
      <c r="AA11" s="2"/>
      <c r="AB11" s="2"/>
      <c r="AC11" s="2"/>
      <c r="AD11" s="2"/>
      <c r="AE11" s="2"/>
      <c r="AF11" s="2"/>
      <c r="AG11" s="2"/>
    </row>
    <row r="12" spans="1:41" x14ac:dyDescent="0.3">
      <c r="B12" s="23"/>
    </row>
    <row r="13" spans="1:41" x14ac:dyDescent="0.3">
      <c r="B13" s="23"/>
    </row>
    <row r="14" spans="1:41" x14ac:dyDescent="0.3">
      <c r="B14" s="23"/>
    </row>
    <row r="15" spans="1:41" x14ac:dyDescent="0.3">
      <c r="A15" s="294" t="s">
        <v>26</v>
      </c>
      <c r="B15" s="294"/>
      <c r="C15" s="24"/>
      <c r="D15" s="24"/>
      <c r="E15" s="3"/>
      <c r="F15" s="3"/>
      <c r="K15" s="25">
        <v>43615</v>
      </c>
      <c r="T15" s="297" t="s">
        <v>2</v>
      </c>
      <c r="U15" s="297" t="s">
        <v>27</v>
      </c>
      <c r="V15" s="74"/>
      <c r="W15" s="74"/>
      <c r="X15" s="300" t="s">
        <v>76</v>
      </c>
    </row>
    <row r="16" spans="1:41" x14ac:dyDescent="0.3">
      <c r="A16" s="294" t="s">
        <v>28</v>
      </c>
      <c r="B16" s="294"/>
      <c r="C16" s="3"/>
      <c r="D16" s="3"/>
      <c r="E16" s="3"/>
      <c r="F16" s="3"/>
      <c r="H16" s="19"/>
      <c r="K16" s="59">
        <v>1.8700000000000001E-2</v>
      </c>
      <c r="T16" s="297"/>
      <c r="U16" s="297"/>
      <c r="V16" s="74"/>
      <c r="W16" s="74"/>
      <c r="X16" s="300"/>
      <c r="AM16">
        <v>1</v>
      </c>
      <c r="AN16" s="1" t="s">
        <v>30</v>
      </c>
      <c r="AO16" s="31">
        <v>6.0000000000000001E-3</v>
      </c>
    </row>
    <row r="17" spans="1:43" x14ac:dyDescent="0.3">
      <c r="A17" s="294" t="s">
        <v>31</v>
      </c>
      <c r="B17" s="294"/>
      <c r="C17" s="32"/>
      <c r="D17" s="3"/>
      <c r="E17" s="3"/>
      <c r="F17" s="3"/>
      <c r="K17" s="26">
        <f>K16+0.01</f>
        <v>2.8700000000000003E-2</v>
      </c>
      <c r="S17" s="68" t="s">
        <v>32</v>
      </c>
      <c r="T17" s="73">
        <f>T18</f>
        <v>0</v>
      </c>
      <c r="U17" s="73">
        <f>+U18+U19</f>
        <v>0</v>
      </c>
      <c r="V17" s="70"/>
      <c r="W17" s="67"/>
      <c r="X17" s="75" t="str">
        <f>IFERROR(T17/koszty!J$16,"")</f>
        <v/>
      </c>
      <c r="AM17">
        <v>2</v>
      </c>
      <c r="AN17" s="1" t="s">
        <v>33</v>
      </c>
      <c r="AO17" s="31">
        <v>7.4999999999999997E-3</v>
      </c>
    </row>
    <row r="18" spans="1:43" ht="15" customHeight="1" x14ac:dyDescent="0.3">
      <c r="A18" s="294" t="s">
        <v>34</v>
      </c>
      <c r="B18" s="294"/>
      <c r="C18" s="3"/>
      <c r="D18" s="3"/>
      <c r="E18" s="3"/>
      <c r="F18" s="3"/>
      <c r="I18" s="33"/>
      <c r="K18" s="64" t="s">
        <v>35</v>
      </c>
      <c r="S18" s="68" t="s">
        <v>36</v>
      </c>
      <c r="T18" s="57">
        <f>K33</f>
        <v>0</v>
      </c>
      <c r="U18" s="69">
        <f>IF(ROUND(R33,2)&lt;0,0,ROUND(R33,2))</f>
        <v>0</v>
      </c>
      <c r="V18" s="70"/>
      <c r="W18" s="67"/>
      <c r="X18" s="75" t="str">
        <f>IFERROR(T18/koszty!J$16,"")</f>
        <v/>
      </c>
      <c r="AM18">
        <v>3</v>
      </c>
      <c r="AN18" s="1" t="s">
        <v>35</v>
      </c>
      <c r="AO18" s="31">
        <v>0.01</v>
      </c>
      <c r="AP18" t="str">
        <f>IF(AND(X18&gt;85%,koszty!J16&gt;0),"Kwota pomocy zwrotnej przekracza dopuszczalny poziom 85% kosztów kwalifikowalnych","")</f>
        <v/>
      </c>
    </row>
    <row r="19" spans="1:43" ht="14.25" customHeight="1" x14ac:dyDescent="0.3">
      <c r="A19" s="301" t="s">
        <v>37</v>
      </c>
      <c r="B19" s="294"/>
      <c r="C19" s="3"/>
      <c r="D19" s="3"/>
      <c r="E19" s="3"/>
      <c r="F19" s="3"/>
      <c r="I19" s="34"/>
      <c r="K19" s="35">
        <f>VLOOKUP($K$18,AN16:AO20,2,FALSE)</f>
        <v>0.01</v>
      </c>
      <c r="S19" s="68" t="s">
        <v>77</v>
      </c>
      <c r="T19" s="51"/>
      <c r="U19" s="69">
        <f>ROUND(W33,2)</f>
        <v>0</v>
      </c>
      <c r="V19" s="67"/>
      <c r="W19" s="67"/>
      <c r="X19" s="75" t="str">
        <f>IFERROR(T19/koszty!J$16,"")</f>
        <v/>
      </c>
      <c r="AM19">
        <v>4</v>
      </c>
      <c r="AN19" s="1" t="s">
        <v>38</v>
      </c>
      <c r="AO19" s="31">
        <v>2.1999999999999999E-2</v>
      </c>
      <c r="AP19" t="str">
        <f>IF(AND(X19&gt;50%,koszty!J16&gt;0),"Kwota premii inwestycyjnej przekracza dopuszczalny maksymalny poziom 50% kosztów kwalifikowalnych","")</f>
        <v/>
      </c>
    </row>
    <row r="20" spans="1:43" x14ac:dyDescent="0.3">
      <c r="A20" s="294" t="s">
        <v>39</v>
      </c>
      <c r="B20" s="294"/>
      <c r="C20" s="3"/>
      <c r="D20" s="3"/>
      <c r="E20" s="3"/>
      <c r="F20" s="3"/>
      <c r="K20" s="35">
        <f>+K16+K19</f>
        <v>2.8700000000000003E-2</v>
      </c>
      <c r="S20" s="65" t="s">
        <v>40</v>
      </c>
      <c r="T20" s="51"/>
      <c r="U20" s="51"/>
      <c r="V20" s="71"/>
      <c r="W20" s="71"/>
      <c r="AM20">
        <v>5</v>
      </c>
      <c r="AN20" s="1" t="s">
        <v>42</v>
      </c>
      <c r="AO20" s="31">
        <v>0.04</v>
      </c>
    </row>
    <row r="21" spans="1:43" ht="31.5" customHeight="1" x14ac:dyDescent="0.3">
      <c r="A21" s="298" t="s">
        <v>43</v>
      </c>
      <c r="B21" s="299"/>
      <c r="C21" s="3"/>
      <c r="D21" s="3"/>
      <c r="E21" s="3"/>
      <c r="F21" s="3"/>
      <c r="I21" s="33"/>
      <c r="K21" s="78">
        <v>0</v>
      </c>
      <c r="S21" s="65" t="s">
        <v>44</v>
      </c>
      <c r="T21" s="66">
        <f>+T17+T20</f>
        <v>0</v>
      </c>
      <c r="U21" s="66">
        <f>U17+U20</f>
        <v>0</v>
      </c>
      <c r="V21" s="67"/>
      <c r="W21" s="67"/>
      <c r="AH21" s="295"/>
      <c r="AK21" s="40"/>
    </row>
    <row r="22" spans="1:43" ht="17.25" customHeight="1" x14ac:dyDescent="0.3">
      <c r="I22" s="33"/>
      <c r="S22" s="76" t="s">
        <v>73</v>
      </c>
      <c r="T22" s="77"/>
      <c r="U22" s="72" t="str">
        <f>IFERROR(U21/koszty!#REF!,"")</f>
        <v/>
      </c>
      <c r="V22" s="67"/>
      <c r="W22" s="67"/>
      <c r="AH22" s="295"/>
      <c r="AK22" s="40"/>
      <c r="AP22" s="305" t="e">
        <f>IF(AND(U22&gt;U23,koszty!#REF!&gt;0),"Intensywność łącznej pomocy przekracza dopuszczalną maksymalną intensywność pomocy publicznej, należy poprawić","")</f>
        <v>#REF!</v>
      </c>
      <c r="AQ22" s="60"/>
    </row>
    <row r="23" spans="1:43" x14ac:dyDescent="0.3">
      <c r="N23" s="50"/>
      <c r="O23" s="50"/>
      <c r="P23" s="50"/>
      <c r="Q23" s="50"/>
      <c r="R23" s="50"/>
      <c r="S23" s="76" t="s">
        <v>74</v>
      </c>
      <c r="T23" s="77"/>
      <c r="U23" s="72" t="e">
        <f>koszty!#REF!</f>
        <v>#REF!</v>
      </c>
      <c r="V23" s="72"/>
      <c r="W23" s="72"/>
      <c r="AH23" s="295"/>
      <c r="AN23" s="1"/>
      <c r="AP23" s="305"/>
      <c r="AQ23" s="60"/>
    </row>
    <row r="24" spans="1:43" ht="15.75" hidden="1" customHeight="1" thickBot="1" x14ac:dyDescent="0.35">
      <c r="B24" s="23"/>
      <c r="N24" s="12"/>
      <c r="O24" s="12"/>
      <c r="P24" s="12"/>
      <c r="Q24" s="12"/>
      <c r="R24" s="12"/>
      <c r="S24" s="63"/>
      <c r="AE24" s="2">
        <v>5</v>
      </c>
      <c r="AF24" s="2" t="s">
        <v>42</v>
      </c>
      <c r="AG24" s="36">
        <v>0.04</v>
      </c>
      <c r="AH24" s="296"/>
      <c r="AN24" s="1"/>
    </row>
    <row r="25" spans="1:43" ht="15.75" hidden="1" customHeight="1" thickBot="1" x14ac:dyDescent="0.35">
      <c r="B25" s="23"/>
      <c r="U25" s="41" t="e">
        <f>+T21/B8</f>
        <v>#DIV/0!</v>
      </c>
      <c r="X25" s="42" t="e">
        <f>+U21/X8</f>
        <v>#DIV/0!</v>
      </c>
    </row>
    <row r="26" spans="1:43" ht="15" hidden="1" customHeight="1" x14ac:dyDescent="0.3">
      <c r="B26" s="23"/>
    </row>
    <row r="27" spans="1:43" ht="15" hidden="1" customHeight="1" x14ac:dyDescent="0.3">
      <c r="B27" s="23"/>
    </row>
    <row r="28" spans="1:43" x14ac:dyDescent="0.3">
      <c r="B28" s="23"/>
      <c r="U28" s="23"/>
      <c r="V28"/>
      <c r="W28" s="23"/>
    </row>
    <row r="29" spans="1:43" x14ac:dyDescent="0.3">
      <c r="B29" s="23"/>
      <c r="U29" s="23"/>
      <c r="V29"/>
      <c r="W29" s="23"/>
    </row>
    <row r="30" spans="1:43" hidden="1" x14ac:dyDescent="0.3">
      <c r="B30" s="23"/>
      <c r="U30" s="23"/>
      <c r="V30"/>
      <c r="W30" s="23"/>
    </row>
    <row r="31" spans="1:43" hidden="1" x14ac:dyDescent="0.3">
      <c r="B31" s="23"/>
      <c r="U31" s="23"/>
      <c r="V31"/>
      <c r="W31" s="23"/>
    </row>
    <row r="32" spans="1:43" hidden="1" x14ac:dyDescent="0.3">
      <c r="B32" s="23"/>
      <c r="G32" s="33"/>
      <c r="K32" s="61" t="s">
        <v>49</v>
      </c>
      <c r="L32" s="62"/>
    </row>
    <row r="33" spans="1:34" x14ac:dyDescent="0.3">
      <c r="G33" s="43">
        <f>SUM(G35:G122)</f>
        <v>0</v>
      </c>
      <c r="H33" s="44">
        <f>SUM(H35:H122)</f>
        <v>0</v>
      </c>
      <c r="I33" s="43">
        <f>SUM(I35:I122)</f>
        <v>0</v>
      </c>
      <c r="J33" s="44">
        <f>SUM(J35:J122)</f>
        <v>0</v>
      </c>
      <c r="K33" s="55">
        <f>SUM(K35:K142)</f>
        <v>0</v>
      </c>
      <c r="L33" s="55">
        <f>SUM(L35:L142)</f>
        <v>0</v>
      </c>
      <c r="M33" s="56">
        <f>SUM(M35:M142)</f>
        <v>0</v>
      </c>
      <c r="N33" s="54"/>
      <c r="O33" s="56">
        <f t="shared" ref="O33:W33" si="0">SUM(O35:O142)</f>
        <v>0</v>
      </c>
      <c r="P33" s="56">
        <f t="shared" si="0"/>
        <v>0</v>
      </c>
      <c r="Q33" s="56">
        <f t="shared" si="0"/>
        <v>0</v>
      </c>
      <c r="R33" s="56">
        <f t="shared" si="0"/>
        <v>0</v>
      </c>
      <c r="S33" s="55">
        <f>SUM(S35:S142)</f>
        <v>0</v>
      </c>
      <c r="T33" s="55">
        <f>SUM(T35:T142)</f>
        <v>0</v>
      </c>
      <c r="V33">
        <f t="shared" si="0"/>
        <v>0</v>
      </c>
      <c r="W33">
        <f t="shared" si="0"/>
        <v>0</v>
      </c>
      <c r="Y33"/>
      <c r="Z33"/>
      <c r="AA33"/>
      <c r="AB33"/>
      <c r="AC33"/>
      <c r="AD33"/>
      <c r="AE33"/>
      <c r="AF33"/>
      <c r="AG33"/>
    </row>
    <row r="34" spans="1:34" s="47" customFormat="1" ht="30" customHeight="1" x14ac:dyDescent="0.3">
      <c r="A34" s="45" t="s">
        <v>50</v>
      </c>
      <c r="B34" s="45" t="s">
        <v>51</v>
      </c>
      <c r="C34" s="46"/>
      <c r="D34" s="46" t="s">
        <v>52</v>
      </c>
      <c r="E34" s="46" t="s">
        <v>53</v>
      </c>
      <c r="F34" s="46" t="s">
        <v>54</v>
      </c>
      <c r="G34" s="45" t="s">
        <v>20</v>
      </c>
      <c r="H34" s="46" t="s">
        <v>55</v>
      </c>
      <c r="I34" s="45" t="s">
        <v>56</v>
      </c>
      <c r="J34" s="46" t="s">
        <v>57</v>
      </c>
      <c r="K34" s="45" t="s">
        <v>58</v>
      </c>
      <c r="L34" s="45" t="s">
        <v>59</v>
      </c>
      <c r="M34" s="46" t="s">
        <v>60</v>
      </c>
      <c r="N34" s="46" t="s">
        <v>61</v>
      </c>
      <c r="O34" s="46" t="s">
        <v>62</v>
      </c>
      <c r="P34" s="46" t="s">
        <v>63</v>
      </c>
      <c r="Q34" s="46" t="s">
        <v>64</v>
      </c>
      <c r="R34" s="46" t="s">
        <v>65</v>
      </c>
      <c r="S34" s="53" t="s">
        <v>66</v>
      </c>
      <c r="T34" s="45" t="s">
        <v>47</v>
      </c>
      <c r="U34"/>
      <c r="V34" t="s">
        <v>67</v>
      </c>
      <c r="W34" t="s">
        <v>68</v>
      </c>
      <c r="X34"/>
      <c r="Y34"/>
      <c r="Z34"/>
      <c r="AA34"/>
      <c r="AB34"/>
      <c r="AC34"/>
      <c r="AD34"/>
      <c r="AE34"/>
      <c r="AF34"/>
      <c r="AG34"/>
      <c r="AH34"/>
    </row>
    <row r="35" spans="1:34" hidden="1" x14ac:dyDescent="0.3">
      <c r="A35" s="302">
        <v>2014</v>
      </c>
      <c r="B35" s="48" t="s">
        <v>69</v>
      </c>
      <c r="C35" s="49">
        <f>+A35</f>
        <v>2014</v>
      </c>
      <c r="D35" s="49">
        <v>1</v>
      </c>
      <c r="E35" s="49">
        <f t="shared" ref="E35:E66" si="1">IF(D35&lt;$B$11,1,(1/(1+$K$17/4)^(D35-$B$11+1)))</f>
        <v>1</v>
      </c>
      <c r="F35" s="49">
        <f t="shared" ref="F35:F66" si="2">IF(C35&lt;($B$9+1),1,(1/(1+$K$17)^(C35-$B$9)))</f>
        <v>1</v>
      </c>
      <c r="G35" s="303"/>
      <c r="H35" s="58">
        <f>+G35*F35</f>
        <v>0</v>
      </c>
      <c r="I35" s="303"/>
      <c r="J35" s="58">
        <f>+I35*F35</f>
        <v>0</v>
      </c>
      <c r="K35" s="50"/>
      <c r="L35" s="50"/>
      <c r="M35" s="58">
        <f>+L35</f>
        <v>0</v>
      </c>
      <c r="N35" s="58">
        <f>+K35</f>
        <v>0</v>
      </c>
      <c r="O35" s="58">
        <f t="shared" ref="O35:O66" si="3">+N35*($K$21/4)</f>
        <v>0</v>
      </c>
      <c r="P35" s="58">
        <f t="shared" ref="P35:P66" si="4">+N35*($K$20/4)</f>
        <v>0</v>
      </c>
      <c r="Q35" s="58">
        <f>+P35-O35</f>
        <v>0</v>
      </c>
      <c r="R35" s="58">
        <f t="shared" ref="R35:R98" si="5">+Q35*E35</f>
        <v>0</v>
      </c>
      <c r="S35" s="57">
        <f t="shared" ref="S35:S66" si="6">+L35-T35</f>
        <v>0</v>
      </c>
      <c r="T35" s="57">
        <f>IF(SUM(L35:L$35)&lt;W$10,IF(SUM(L$35:L35)&lt;W$10,0,(SUM(L$35:L35)-W$10)),L35)</f>
        <v>0</v>
      </c>
      <c r="V35">
        <f>SUM(T35:T38)</f>
        <v>0</v>
      </c>
      <c r="W35">
        <f>+V35*F35</f>
        <v>0</v>
      </c>
      <c r="Y35">
        <f>+X35*F35</f>
        <v>0</v>
      </c>
      <c r="Z35"/>
      <c r="AA35"/>
      <c r="AB35"/>
      <c r="AC35"/>
      <c r="AD35"/>
      <c r="AE35"/>
      <c r="AF35"/>
      <c r="AG35"/>
    </row>
    <row r="36" spans="1:34" hidden="1" x14ac:dyDescent="0.3">
      <c r="A36" s="302"/>
      <c r="B36" s="48" t="s">
        <v>70</v>
      </c>
      <c r="C36" s="49">
        <f>+C35</f>
        <v>2014</v>
      </c>
      <c r="D36" s="49">
        <v>2</v>
      </c>
      <c r="E36" s="49">
        <f t="shared" si="1"/>
        <v>1</v>
      </c>
      <c r="F36" s="49">
        <f t="shared" si="2"/>
        <v>1</v>
      </c>
      <c r="G36" s="303"/>
      <c r="H36" s="49"/>
      <c r="I36" s="303"/>
      <c r="J36" s="49"/>
      <c r="K36" s="50"/>
      <c r="L36" s="50"/>
      <c r="M36" s="58">
        <f>IF(SUM(M$35:M35)=K$33,0,IF(SUM(L$35:L36)&lt;$W$10,L36,K$33-SUM(L$35:L35)))</f>
        <v>0</v>
      </c>
      <c r="N36" s="58">
        <f t="shared" ref="N36:N99" si="7">+N35+K36-M35</f>
        <v>0</v>
      </c>
      <c r="O36" s="58">
        <f t="shared" si="3"/>
        <v>0</v>
      </c>
      <c r="P36" s="58">
        <f t="shared" si="4"/>
        <v>0</v>
      </c>
      <c r="Q36" s="58">
        <f t="shared" ref="Q36:Q99" si="8">+P36-O36</f>
        <v>0</v>
      </c>
      <c r="R36" s="58">
        <f t="shared" si="5"/>
        <v>0</v>
      </c>
      <c r="S36" s="57">
        <f t="shared" si="6"/>
        <v>0</v>
      </c>
      <c r="T36" s="57">
        <f>IF(SUM(L$35:L35)&lt;W$10,IF(SUM(L$35:L36)&lt;W$10,0,(SUM(L$35:L36)-W$10)),L36)</f>
        <v>0</v>
      </c>
      <c r="V36"/>
      <c r="W36"/>
      <c r="Y36"/>
      <c r="Z36"/>
      <c r="AA36"/>
      <c r="AB36"/>
      <c r="AC36"/>
      <c r="AD36"/>
      <c r="AE36"/>
      <c r="AF36"/>
      <c r="AG36"/>
    </row>
    <row r="37" spans="1:34" hidden="1" x14ac:dyDescent="0.3">
      <c r="A37" s="302"/>
      <c r="B37" s="48" t="s">
        <v>71</v>
      </c>
      <c r="C37" s="49">
        <f>+C35</f>
        <v>2014</v>
      </c>
      <c r="D37" s="49">
        <v>3</v>
      </c>
      <c r="E37" s="49">
        <f t="shared" si="1"/>
        <v>1</v>
      </c>
      <c r="F37" s="49">
        <f t="shared" si="2"/>
        <v>1</v>
      </c>
      <c r="G37" s="303"/>
      <c r="H37" s="49"/>
      <c r="I37" s="303"/>
      <c r="J37" s="49"/>
      <c r="K37" s="50"/>
      <c r="L37" s="50"/>
      <c r="M37" s="58">
        <f>IF(SUM(M$35:M36)=K$33,0,IF(SUM(L$35:L37)&lt;$W$10,L37,K$33-SUM(L$35:L36)))</f>
        <v>0</v>
      </c>
      <c r="N37" s="58">
        <f t="shared" si="7"/>
        <v>0</v>
      </c>
      <c r="O37" s="58">
        <f t="shared" si="3"/>
        <v>0</v>
      </c>
      <c r="P37" s="58">
        <f t="shared" si="4"/>
        <v>0</v>
      </c>
      <c r="Q37" s="58">
        <f t="shared" si="8"/>
        <v>0</v>
      </c>
      <c r="R37" s="58">
        <f t="shared" si="5"/>
        <v>0</v>
      </c>
      <c r="S37" s="57">
        <f t="shared" si="6"/>
        <v>0</v>
      </c>
      <c r="T37" s="57">
        <f>IF(SUM(L$35:L36)&lt;W$10,IF(SUM(L$35:L37)&lt;W$10,0,(SUM(L$35:L37)-W$10)),L37)</f>
        <v>0</v>
      </c>
      <c r="V37"/>
      <c r="W37"/>
      <c r="Y37"/>
      <c r="Z37"/>
      <c r="AA37"/>
      <c r="AB37"/>
      <c r="AC37"/>
      <c r="AD37"/>
      <c r="AE37"/>
      <c r="AF37"/>
      <c r="AG37"/>
    </row>
    <row r="38" spans="1:34" hidden="1" x14ac:dyDescent="0.3">
      <c r="A38" s="302"/>
      <c r="B38" s="48" t="s">
        <v>72</v>
      </c>
      <c r="C38" s="49">
        <f>+C35</f>
        <v>2014</v>
      </c>
      <c r="D38" s="49">
        <v>4</v>
      </c>
      <c r="E38" s="49">
        <f t="shared" si="1"/>
        <v>1</v>
      </c>
      <c r="F38" s="49">
        <f t="shared" si="2"/>
        <v>1</v>
      </c>
      <c r="G38" s="303"/>
      <c r="H38" s="49"/>
      <c r="I38" s="303"/>
      <c r="J38" s="49"/>
      <c r="K38" s="50"/>
      <c r="L38" s="50"/>
      <c r="M38" s="58">
        <f>IF(SUM(M$35:M37)=K$33,0,IF(SUM(L$35:L38)&lt;$W$10,L38,K$33-SUM(L$35:L37)))</f>
        <v>0</v>
      </c>
      <c r="N38" s="58">
        <f t="shared" si="7"/>
        <v>0</v>
      </c>
      <c r="O38" s="58">
        <f t="shared" si="3"/>
        <v>0</v>
      </c>
      <c r="P38" s="58">
        <f t="shared" si="4"/>
        <v>0</v>
      </c>
      <c r="Q38" s="58">
        <f t="shared" si="8"/>
        <v>0</v>
      </c>
      <c r="R38" s="58">
        <f t="shared" si="5"/>
        <v>0</v>
      </c>
      <c r="S38" s="57">
        <f t="shared" si="6"/>
        <v>0</v>
      </c>
      <c r="T38" s="57">
        <f>IF(SUM(L$35:L37)&lt;W$10,IF(SUM(L$35:L38)&lt;W$10,0,(SUM(L$35:L38)-W$10)),L38)</f>
        <v>0</v>
      </c>
      <c r="V38"/>
      <c r="W38"/>
      <c r="Y38"/>
      <c r="Z38"/>
      <c r="AA38"/>
      <c r="AB38"/>
      <c r="AC38"/>
      <c r="AD38"/>
      <c r="AE38"/>
      <c r="AF38"/>
      <c r="AG38"/>
    </row>
    <row r="39" spans="1:34" hidden="1" x14ac:dyDescent="0.3">
      <c r="A39" s="302">
        <v>2015</v>
      </c>
      <c r="B39" s="48" t="s">
        <v>69</v>
      </c>
      <c r="C39" s="49">
        <f>+A39</f>
        <v>2015</v>
      </c>
      <c r="D39" s="49">
        <v>5</v>
      </c>
      <c r="E39" s="49">
        <f t="shared" si="1"/>
        <v>1</v>
      </c>
      <c r="F39" s="49">
        <f t="shared" si="2"/>
        <v>1</v>
      </c>
      <c r="G39" s="303"/>
      <c r="H39" s="58">
        <f>+G39*F39</f>
        <v>0</v>
      </c>
      <c r="I39" s="303"/>
      <c r="J39" s="58">
        <f>+I39*F39</f>
        <v>0</v>
      </c>
      <c r="K39" s="50"/>
      <c r="L39" s="50"/>
      <c r="M39" s="58">
        <f>IF(SUM(M$35:M38)=K$33,0,IF(SUM(L$35:L39)&lt;$W$10,L39,K$33-SUM(L$35:L38)))</f>
        <v>0</v>
      </c>
      <c r="N39" s="58">
        <f t="shared" si="7"/>
        <v>0</v>
      </c>
      <c r="O39" s="58">
        <f t="shared" si="3"/>
        <v>0</v>
      </c>
      <c r="P39" s="58">
        <f t="shared" si="4"/>
        <v>0</v>
      </c>
      <c r="Q39" s="58">
        <f t="shared" si="8"/>
        <v>0</v>
      </c>
      <c r="R39" s="58">
        <f t="shared" si="5"/>
        <v>0</v>
      </c>
      <c r="S39" s="57">
        <f t="shared" si="6"/>
        <v>0</v>
      </c>
      <c r="T39" s="57">
        <f>IF(SUM(L$35:L38)&lt;W$10,IF(SUM(L$35:L39)&lt;W$10,0,(SUM(L$35:L39)-W$10)),L39)</f>
        <v>0</v>
      </c>
      <c r="V39">
        <f>SUM(T39:T42)</f>
        <v>0</v>
      </c>
      <c r="W39">
        <f>+V39*F39</f>
        <v>0</v>
      </c>
      <c r="Y39">
        <f>+X39*F39</f>
        <v>0</v>
      </c>
      <c r="Z39"/>
      <c r="AA39"/>
      <c r="AB39"/>
      <c r="AC39"/>
      <c r="AD39"/>
      <c r="AE39"/>
      <c r="AF39"/>
      <c r="AG39"/>
    </row>
    <row r="40" spans="1:34" hidden="1" x14ac:dyDescent="0.3">
      <c r="A40" s="302"/>
      <c r="B40" s="48" t="s">
        <v>70</v>
      </c>
      <c r="C40" s="49">
        <f>+C39</f>
        <v>2015</v>
      </c>
      <c r="D40" s="49">
        <v>6</v>
      </c>
      <c r="E40" s="49">
        <f t="shared" si="1"/>
        <v>1</v>
      </c>
      <c r="F40" s="49">
        <f t="shared" si="2"/>
        <v>1</v>
      </c>
      <c r="G40" s="303"/>
      <c r="H40" s="49"/>
      <c r="I40" s="303"/>
      <c r="J40" s="49"/>
      <c r="K40" s="50"/>
      <c r="L40" s="50"/>
      <c r="M40" s="58">
        <f>IF(SUM(M$35:M39)=K$33,0,IF(SUM(L$35:L40)&lt;$W$10,L40,K$33-SUM(L$35:L39)))</f>
        <v>0</v>
      </c>
      <c r="N40" s="58">
        <f t="shared" si="7"/>
        <v>0</v>
      </c>
      <c r="O40" s="58">
        <f t="shared" si="3"/>
        <v>0</v>
      </c>
      <c r="P40" s="58">
        <f t="shared" si="4"/>
        <v>0</v>
      </c>
      <c r="Q40" s="58">
        <f t="shared" si="8"/>
        <v>0</v>
      </c>
      <c r="R40" s="58">
        <f t="shared" si="5"/>
        <v>0</v>
      </c>
      <c r="S40" s="57">
        <f t="shared" si="6"/>
        <v>0</v>
      </c>
      <c r="T40" s="57">
        <f>IF(SUM(L$35:L39)&lt;W$10,IF(SUM(L$35:L40)&lt;W$10,0,(SUM(L$35:L40)-W$10)),L40)</f>
        <v>0</v>
      </c>
      <c r="V40"/>
      <c r="W40"/>
      <c r="Y40"/>
      <c r="Z40"/>
      <c r="AA40"/>
      <c r="AB40"/>
      <c r="AC40"/>
      <c r="AD40"/>
      <c r="AE40"/>
      <c r="AF40"/>
      <c r="AG40"/>
    </row>
    <row r="41" spans="1:34" hidden="1" x14ac:dyDescent="0.3">
      <c r="A41" s="302"/>
      <c r="B41" s="48" t="s">
        <v>71</v>
      </c>
      <c r="C41" s="49">
        <f>+C39</f>
        <v>2015</v>
      </c>
      <c r="D41" s="49">
        <v>7</v>
      </c>
      <c r="E41" s="49">
        <f t="shared" si="1"/>
        <v>1</v>
      </c>
      <c r="F41" s="49">
        <f t="shared" si="2"/>
        <v>1</v>
      </c>
      <c r="G41" s="303"/>
      <c r="H41" s="49"/>
      <c r="I41" s="303"/>
      <c r="J41" s="49"/>
      <c r="K41" s="50"/>
      <c r="L41" s="50"/>
      <c r="M41" s="58">
        <f>IF(SUM(M$35:M40)=K$33,0,IF(SUM(L$35:L41)&lt;$W$10,L41,K$33-SUM(L$35:L40)))</f>
        <v>0</v>
      </c>
      <c r="N41" s="58">
        <f t="shared" si="7"/>
        <v>0</v>
      </c>
      <c r="O41" s="58">
        <f t="shared" si="3"/>
        <v>0</v>
      </c>
      <c r="P41" s="58">
        <f t="shared" si="4"/>
        <v>0</v>
      </c>
      <c r="Q41" s="58">
        <f t="shared" si="8"/>
        <v>0</v>
      </c>
      <c r="R41" s="58">
        <f t="shared" si="5"/>
        <v>0</v>
      </c>
      <c r="S41" s="57">
        <f t="shared" si="6"/>
        <v>0</v>
      </c>
      <c r="T41" s="57">
        <f>IF(SUM(L$35:L40)&lt;W$10,IF(SUM(L$35:L41)&lt;W$10,0,(SUM(L$35:L41)-W$10)),L41)</f>
        <v>0</v>
      </c>
      <c r="V41"/>
      <c r="W41"/>
      <c r="Y41"/>
      <c r="Z41"/>
      <c r="AA41"/>
      <c r="AB41"/>
      <c r="AC41"/>
      <c r="AD41"/>
      <c r="AE41"/>
      <c r="AF41"/>
      <c r="AG41"/>
    </row>
    <row r="42" spans="1:34" hidden="1" x14ac:dyDescent="0.3">
      <c r="A42" s="302"/>
      <c r="B42" s="48" t="s">
        <v>72</v>
      </c>
      <c r="C42" s="49">
        <f>+C39</f>
        <v>2015</v>
      </c>
      <c r="D42" s="49">
        <v>8</v>
      </c>
      <c r="E42" s="49">
        <f t="shared" si="1"/>
        <v>1</v>
      </c>
      <c r="F42" s="49">
        <f t="shared" si="2"/>
        <v>1</v>
      </c>
      <c r="G42" s="303"/>
      <c r="H42" s="49"/>
      <c r="I42" s="303"/>
      <c r="J42" s="49"/>
      <c r="K42" s="50"/>
      <c r="L42" s="50"/>
      <c r="M42" s="58">
        <f>IF(SUM(M$35:M41)=K$33,0,IF(SUM(L$35:L42)&lt;$W$10,L42,K$33-SUM(L$35:L41)))</f>
        <v>0</v>
      </c>
      <c r="N42" s="58">
        <f t="shared" si="7"/>
        <v>0</v>
      </c>
      <c r="O42" s="58">
        <f t="shared" si="3"/>
        <v>0</v>
      </c>
      <c r="P42" s="58">
        <f t="shared" si="4"/>
        <v>0</v>
      </c>
      <c r="Q42" s="58">
        <f t="shared" si="8"/>
        <v>0</v>
      </c>
      <c r="R42" s="58">
        <f t="shared" si="5"/>
        <v>0</v>
      </c>
      <c r="S42" s="57">
        <f t="shared" si="6"/>
        <v>0</v>
      </c>
      <c r="T42" s="57">
        <f>IF(SUM(L$35:L41)&lt;W$10,IF(SUM(L$35:L42)&lt;W$10,0,(SUM(L$35:L42)-W$10)),L42)</f>
        <v>0</v>
      </c>
      <c r="V42"/>
      <c r="W42"/>
      <c r="Y42"/>
      <c r="Z42"/>
      <c r="AA42"/>
      <c r="AB42"/>
      <c r="AC42"/>
      <c r="AD42"/>
      <c r="AE42"/>
      <c r="AF42"/>
      <c r="AG42"/>
    </row>
    <row r="43" spans="1:34" hidden="1" x14ac:dyDescent="0.3">
      <c r="A43" s="302">
        <v>2016</v>
      </c>
      <c r="B43" s="48" t="s">
        <v>69</v>
      </c>
      <c r="C43" s="49">
        <f>+A43</f>
        <v>2016</v>
      </c>
      <c r="D43" s="49">
        <v>9</v>
      </c>
      <c r="E43" s="49">
        <f t="shared" si="1"/>
        <v>1</v>
      </c>
      <c r="F43" s="49">
        <f t="shared" si="2"/>
        <v>1</v>
      </c>
      <c r="G43" s="303"/>
      <c r="H43" s="58">
        <f>+G43*F43</f>
        <v>0</v>
      </c>
      <c r="I43" s="303"/>
      <c r="J43" s="58">
        <f>+I43*F43</f>
        <v>0</v>
      </c>
      <c r="K43" s="50"/>
      <c r="L43" s="50"/>
      <c r="M43" s="58">
        <f>IF(SUM(M$35:M42)=K$33,0,IF(SUM(L$35:L43)&lt;$W$10,L43,K$33-SUM(L$35:L42)))</f>
        <v>0</v>
      </c>
      <c r="N43" s="58">
        <f t="shared" si="7"/>
        <v>0</v>
      </c>
      <c r="O43" s="58">
        <f t="shared" si="3"/>
        <v>0</v>
      </c>
      <c r="P43" s="58">
        <f t="shared" si="4"/>
        <v>0</v>
      </c>
      <c r="Q43" s="58">
        <f t="shared" si="8"/>
        <v>0</v>
      </c>
      <c r="R43" s="58">
        <f t="shared" si="5"/>
        <v>0</v>
      </c>
      <c r="S43" s="57">
        <f t="shared" si="6"/>
        <v>0</v>
      </c>
      <c r="T43" s="57">
        <f>IF(SUM(L$35:L42)&lt;W$10,IF(SUM(L$35:L43)&lt;W$10,0,(SUM(L$35:L43)-W$10)),L43)</f>
        <v>0</v>
      </c>
      <c r="V43">
        <f>SUM(T43:T46)</f>
        <v>0</v>
      </c>
      <c r="W43">
        <f>+V43*F43</f>
        <v>0</v>
      </c>
      <c r="Y43">
        <f>+X43*F43</f>
        <v>0</v>
      </c>
      <c r="Z43"/>
      <c r="AA43"/>
      <c r="AB43"/>
      <c r="AC43"/>
      <c r="AD43"/>
      <c r="AE43"/>
      <c r="AF43"/>
      <c r="AG43"/>
    </row>
    <row r="44" spans="1:34" hidden="1" x14ac:dyDescent="0.3">
      <c r="A44" s="302"/>
      <c r="B44" s="48" t="s">
        <v>70</v>
      </c>
      <c r="C44" s="49">
        <f>+C43</f>
        <v>2016</v>
      </c>
      <c r="D44" s="49">
        <v>10</v>
      </c>
      <c r="E44" s="49">
        <f t="shared" si="1"/>
        <v>1</v>
      </c>
      <c r="F44" s="49">
        <f t="shared" si="2"/>
        <v>1</v>
      </c>
      <c r="G44" s="303"/>
      <c r="H44" s="49"/>
      <c r="I44" s="303"/>
      <c r="J44" s="49"/>
      <c r="K44" s="50"/>
      <c r="L44" s="50"/>
      <c r="M44" s="58">
        <f>IF(SUM(M$35:M43)=K$33,0,IF(SUM(L$35:L44)&lt;$W$10,L44,K$33-SUM(L$35:L43)))</f>
        <v>0</v>
      </c>
      <c r="N44" s="58">
        <f t="shared" si="7"/>
        <v>0</v>
      </c>
      <c r="O44" s="58">
        <f t="shared" si="3"/>
        <v>0</v>
      </c>
      <c r="P44" s="58">
        <f t="shared" si="4"/>
        <v>0</v>
      </c>
      <c r="Q44" s="58">
        <f t="shared" si="8"/>
        <v>0</v>
      </c>
      <c r="R44" s="58">
        <f t="shared" si="5"/>
        <v>0</v>
      </c>
      <c r="S44" s="57">
        <f t="shared" si="6"/>
        <v>0</v>
      </c>
      <c r="T44" s="57">
        <f>IF(SUM(L$35:L43)&lt;W$10,IF(SUM(L$35:L44)&lt;W$10,0,(SUM(L$35:L44)-W$10)),L44)</f>
        <v>0</v>
      </c>
      <c r="V44"/>
      <c r="W44"/>
      <c r="Y44"/>
      <c r="Z44"/>
      <c r="AA44"/>
      <c r="AB44"/>
      <c r="AC44"/>
      <c r="AD44"/>
      <c r="AE44"/>
      <c r="AF44"/>
      <c r="AG44"/>
    </row>
    <row r="45" spans="1:34" hidden="1" x14ac:dyDescent="0.3">
      <c r="A45" s="302"/>
      <c r="B45" s="48" t="s">
        <v>71</v>
      </c>
      <c r="C45" s="49">
        <f>+C43</f>
        <v>2016</v>
      </c>
      <c r="D45" s="49">
        <v>11</v>
      </c>
      <c r="E45" s="49">
        <f t="shared" si="1"/>
        <v>1</v>
      </c>
      <c r="F45" s="49">
        <f t="shared" si="2"/>
        <v>1</v>
      </c>
      <c r="G45" s="303"/>
      <c r="H45" s="49"/>
      <c r="I45" s="303"/>
      <c r="J45" s="49"/>
      <c r="K45" s="50"/>
      <c r="L45" s="50"/>
      <c r="M45" s="58">
        <f>IF(SUM(M$35:M44)=K$33,0,IF(SUM(L$35:L45)&lt;$W$10,L45,K$33-SUM(L$35:L44)))</f>
        <v>0</v>
      </c>
      <c r="N45" s="58">
        <f t="shared" si="7"/>
        <v>0</v>
      </c>
      <c r="O45" s="58">
        <f t="shared" si="3"/>
        <v>0</v>
      </c>
      <c r="P45" s="58">
        <f t="shared" si="4"/>
        <v>0</v>
      </c>
      <c r="Q45" s="58">
        <f t="shared" si="8"/>
        <v>0</v>
      </c>
      <c r="R45" s="58">
        <f t="shared" si="5"/>
        <v>0</v>
      </c>
      <c r="S45" s="57">
        <f t="shared" si="6"/>
        <v>0</v>
      </c>
      <c r="T45" s="57">
        <f>IF(SUM(L$35:L44)&lt;W$10,IF(SUM(L$35:L45)&lt;W$10,0,(SUM(L$35:L45)-W$10)),L45)</f>
        <v>0</v>
      </c>
      <c r="V45"/>
      <c r="W45"/>
      <c r="Y45"/>
      <c r="Z45"/>
      <c r="AA45"/>
      <c r="AB45"/>
      <c r="AC45"/>
      <c r="AD45"/>
      <c r="AE45"/>
      <c r="AF45"/>
      <c r="AG45"/>
    </row>
    <row r="46" spans="1:34" hidden="1" x14ac:dyDescent="0.3">
      <c r="A46" s="302"/>
      <c r="B46" s="48" t="s">
        <v>72</v>
      </c>
      <c r="C46" s="49">
        <f>+C43</f>
        <v>2016</v>
      </c>
      <c r="D46" s="49">
        <v>12</v>
      </c>
      <c r="E46" s="49">
        <f t="shared" si="1"/>
        <v>1</v>
      </c>
      <c r="F46" s="49">
        <f t="shared" si="2"/>
        <v>1</v>
      </c>
      <c r="G46" s="303"/>
      <c r="H46" s="49"/>
      <c r="I46" s="303"/>
      <c r="J46" s="49"/>
      <c r="K46" s="50"/>
      <c r="L46" s="50"/>
      <c r="M46" s="58">
        <f>IF(SUM(M$35:M45)=K$33,0,IF(SUM(L$35:L46)&lt;$W$10,L46,K$33-SUM(L$35:L45)))</f>
        <v>0</v>
      </c>
      <c r="N46" s="58">
        <f t="shared" si="7"/>
        <v>0</v>
      </c>
      <c r="O46" s="58">
        <f t="shared" si="3"/>
        <v>0</v>
      </c>
      <c r="P46" s="58">
        <f t="shared" si="4"/>
        <v>0</v>
      </c>
      <c r="Q46" s="58">
        <f t="shared" si="8"/>
        <v>0</v>
      </c>
      <c r="R46" s="58">
        <f t="shared" si="5"/>
        <v>0</v>
      </c>
      <c r="S46" s="57">
        <f t="shared" si="6"/>
        <v>0</v>
      </c>
      <c r="T46" s="57">
        <f>IF(SUM(L$35:L45)&lt;W$10,IF(SUM(L$35:L46)&lt;W$10,0,(SUM(L$35:L46)-W$10)),L46)</f>
        <v>0</v>
      </c>
      <c r="V46"/>
      <c r="W46"/>
      <c r="Y46"/>
      <c r="Z46"/>
      <c r="AA46"/>
      <c r="AB46"/>
      <c r="AC46"/>
      <c r="AD46"/>
      <c r="AE46"/>
      <c r="AF46"/>
      <c r="AG46"/>
    </row>
    <row r="47" spans="1:34" hidden="1" x14ac:dyDescent="0.3">
      <c r="A47" s="304">
        <v>2017</v>
      </c>
      <c r="B47" s="48" t="s">
        <v>69</v>
      </c>
      <c r="C47" s="49">
        <f>+A47</f>
        <v>2017</v>
      </c>
      <c r="D47" s="49">
        <v>13</v>
      </c>
      <c r="E47" s="49">
        <f t="shared" si="1"/>
        <v>1</v>
      </c>
      <c r="F47" s="49">
        <f t="shared" si="2"/>
        <v>1</v>
      </c>
      <c r="G47" s="303"/>
      <c r="H47" s="58">
        <f>+G47*F47</f>
        <v>0</v>
      </c>
      <c r="I47" s="303"/>
      <c r="J47" s="58">
        <f>+I47*F47</f>
        <v>0</v>
      </c>
      <c r="K47" s="50"/>
      <c r="L47" s="50"/>
      <c r="M47" s="58">
        <f>IF(SUM(M$35:M46)=K$33,0,IF(SUM(L$35:L47)&lt;$W$10,L47,K$33-SUM(L$35:L46)))</f>
        <v>0</v>
      </c>
      <c r="N47" s="58">
        <f t="shared" si="7"/>
        <v>0</v>
      </c>
      <c r="O47" s="58">
        <f t="shared" si="3"/>
        <v>0</v>
      </c>
      <c r="P47" s="58">
        <f t="shared" si="4"/>
        <v>0</v>
      </c>
      <c r="Q47" s="58">
        <f t="shared" si="8"/>
        <v>0</v>
      </c>
      <c r="R47" s="58">
        <f t="shared" si="5"/>
        <v>0</v>
      </c>
      <c r="S47" s="57">
        <f t="shared" si="6"/>
        <v>0</v>
      </c>
      <c r="T47" s="57">
        <f>IF(SUM(L$35:L46)&lt;W$10,IF(SUM(L$35:L47)&lt;W$10,0,(SUM(L$35:L47)-W$10)),L47)</f>
        <v>0</v>
      </c>
      <c r="V47">
        <f>SUM(T47:T50)</f>
        <v>0</v>
      </c>
      <c r="W47">
        <f>+V47*F47</f>
        <v>0</v>
      </c>
      <c r="Y47">
        <f>+X47*F47</f>
        <v>0</v>
      </c>
      <c r="Z47"/>
      <c r="AA47"/>
      <c r="AB47"/>
      <c r="AC47"/>
      <c r="AD47"/>
      <c r="AE47"/>
      <c r="AF47"/>
      <c r="AG47"/>
    </row>
    <row r="48" spans="1:34" hidden="1" x14ac:dyDescent="0.3">
      <c r="A48" s="304"/>
      <c r="B48" s="48" t="s">
        <v>70</v>
      </c>
      <c r="C48" s="49">
        <f>+C47</f>
        <v>2017</v>
      </c>
      <c r="D48" s="49">
        <v>14</v>
      </c>
      <c r="E48" s="49">
        <f t="shared" si="1"/>
        <v>1</v>
      </c>
      <c r="F48" s="49">
        <f t="shared" si="2"/>
        <v>1</v>
      </c>
      <c r="G48" s="303"/>
      <c r="H48" s="49"/>
      <c r="I48" s="303"/>
      <c r="J48" s="49"/>
      <c r="K48" s="50"/>
      <c r="L48" s="50"/>
      <c r="M48" s="58">
        <f>IF(SUM(M$35:M47)=K$33,0,IF(SUM(L$35:L48)&lt;$W$10,L48,K$33-SUM(L$35:L47)))</f>
        <v>0</v>
      </c>
      <c r="N48" s="58">
        <f t="shared" si="7"/>
        <v>0</v>
      </c>
      <c r="O48" s="58">
        <f t="shared" si="3"/>
        <v>0</v>
      </c>
      <c r="P48" s="58">
        <f t="shared" si="4"/>
        <v>0</v>
      </c>
      <c r="Q48" s="58">
        <f t="shared" si="8"/>
        <v>0</v>
      </c>
      <c r="R48" s="58">
        <f t="shared" si="5"/>
        <v>0</v>
      </c>
      <c r="S48" s="57">
        <f t="shared" si="6"/>
        <v>0</v>
      </c>
      <c r="T48" s="57">
        <f>IF(SUM(L$35:L47)&lt;W$10,IF(SUM(L$35:L48)&lt;W$10,0,(SUM(L$35:L48)-W$10)),L48)</f>
        <v>0</v>
      </c>
      <c r="V48"/>
      <c r="W48"/>
      <c r="Y48"/>
      <c r="Z48"/>
      <c r="AA48"/>
      <c r="AB48"/>
      <c r="AC48"/>
      <c r="AD48"/>
      <c r="AE48"/>
      <c r="AF48"/>
      <c r="AG48"/>
    </row>
    <row r="49" spans="1:35" hidden="1" x14ac:dyDescent="0.3">
      <c r="A49" s="304"/>
      <c r="B49" s="48" t="s">
        <v>71</v>
      </c>
      <c r="C49" s="49">
        <f>+C47</f>
        <v>2017</v>
      </c>
      <c r="D49" s="49">
        <v>15</v>
      </c>
      <c r="E49" s="49">
        <f t="shared" si="1"/>
        <v>1</v>
      </c>
      <c r="F49" s="49">
        <f t="shared" si="2"/>
        <v>1</v>
      </c>
      <c r="G49" s="303"/>
      <c r="H49" s="49"/>
      <c r="I49" s="303"/>
      <c r="J49" s="49"/>
      <c r="K49" s="50"/>
      <c r="L49" s="50"/>
      <c r="M49" s="58">
        <f>IF(SUM(M$35:M48)=K$33,0,IF(SUM(L$35:L49)&lt;$W$10,L49,K$33-SUM(L$35:L48)))</f>
        <v>0</v>
      </c>
      <c r="N49" s="58">
        <f t="shared" si="7"/>
        <v>0</v>
      </c>
      <c r="O49" s="58">
        <f t="shared" si="3"/>
        <v>0</v>
      </c>
      <c r="P49" s="58">
        <f t="shared" si="4"/>
        <v>0</v>
      </c>
      <c r="Q49" s="58">
        <f t="shared" si="8"/>
        <v>0</v>
      </c>
      <c r="R49" s="58">
        <f t="shared" si="5"/>
        <v>0</v>
      </c>
      <c r="S49" s="57">
        <f t="shared" si="6"/>
        <v>0</v>
      </c>
      <c r="T49" s="57">
        <f>IF(SUM(L$35:L48)&lt;W$10,IF(SUM(L$35:L49)&lt;W$10,0,(SUM(L$35:L49)-W$10)),L49)</f>
        <v>0</v>
      </c>
      <c r="V49"/>
      <c r="W49"/>
      <c r="Y49"/>
      <c r="Z49"/>
      <c r="AA49"/>
      <c r="AB49"/>
      <c r="AC49"/>
      <c r="AD49"/>
      <c r="AE49"/>
      <c r="AF49"/>
      <c r="AG49"/>
    </row>
    <row r="50" spans="1:35" hidden="1" x14ac:dyDescent="0.3">
      <c r="A50" s="304"/>
      <c r="B50" s="48" t="s">
        <v>72</v>
      </c>
      <c r="C50" s="49">
        <f>+C47</f>
        <v>2017</v>
      </c>
      <c r="D50" s="49">
        <v>16</v>
      </c>
      <c r="E50" s="49">
        <f t="shared" si="1"/>
        <v>1</v>
      </c>
      <c r="F50" s="49">
        <f t="shared" si="2"/>
        <v>1</v>
      </c>
      <c r="G50" s="303"/>
      <c r="H50" s="49"/>
      <c r="I50" s="303"/>
      <c r="J50" s="49"/>
      <c r="K50" s="50"/>
      <c r="L50" s="50"/>
      <c r="M50" s="58">
        <f>IF(SUM(M$35:M49)=K$33,0,IF(SUM(L$35:L50)&lt;$W$10,L50,K$33-SUM(L$35:L49)))</f>
        <v>0</v>
      </c>
      <c r="N50" s="58">
        <f t="shared" si="7"/>
        <v>0</v>
      </c>
      <c r="O50" s="58">
        <f t="shared" si="3"/>
        <v>0</v>
      </c>
      <c r="P50" s="58">
        <f t="shared" si="4"/>
        <v>0</v>
      </c>
      <c r="Q50" s="58">
        <f t="shared" si="8"/>
        <v>0</v>
      </c>
      <c r="R50" s="58">
        <f t="shared" si="5"/>
        <v>0</v>
      </c>
      <c r="S50" s="57">
        <f t="shared" si="6"/>
        <v>0</v>
      </c>
      <c r="T50" s="57">
        <f>IF(SUM(L$35:L49)&lt;W$10,IF(SUM(L$35:L50)&lt;W$10,0,(SUM(L$35:L50)-W$10)),L50)</f>
        <v>0</v>
      </c>
      <c r="V50"/>
      <c r="W50"/>
      <c r="Y50"/>
      <c r="Z50"/>
      <c r="AA50"/>
      <c r="AB50"/>
      <c r="AC50"/>
      <c r="AD50"/>
      <c r="AE50"/>
      <c r="AF50"/>
      <c r="AG50"/>
    </row>
    <row r="51" spans="1:35" x14ac:dyDescent="0.3">
      <c r="A51" s="304">
        <v>2018</v>
      </c>
      <c r="B51" s="48" t="s">
        <v>69</v>
      </c>
      <c r="C51" s="49">
        <f>+A51</f>
        <v>2018</v>
      </c>
      <c r="D51" s="49">
        <v>17</v>
      </c>
      <c r="E51" s="49">
        <f t="shared" si="1"/>
        <v>1</v>
      </c>
      <c r="F51" s="49">
        <f t="shared" si="2"/>
        <v>1</v>
      </c>
      <c r="G51" s="303"/>
      <c r="H51" s="58">
        <f>+G51*F51</f>
        <v>0</v>
      </c>
      <c r="I51" s="303"/>
      <c r="J51" s="58">
        <f>+I51*F51</f>
        <v>0</v>
      </c>
      <c r="K51" s="51"/>
      <c r="L51" s="51"/>
      <c r="M51" s="58">
        <f>IF(SUM(M$35:M50)=K$33,0,IF(SUM(L$35:L51)&lt;$W$10,L51,K$33-SUM(L$35:L50)))</f>
        <v>0</v>
      </c>
      <c r="N51" s="58">
        <f t="shared" si="7"/>
        <v>0</v>
      </c>
      <c r="O51" s="58">
        <f t="shared" si="3"/>
        <v>0</v>
      </c>
      <c r="P51" s="58">
        <f t="shared" si="4"/>
        <v>0</v>
      </c>
      <c r="Q51" s="58">
        <f t="shared" si="8"/>
        <v>0</v>
      </c>
      <c r="R51" s="58">
        <f t="shared" si="5"/>
        <v>0</v>
      </c>
      <c r="S51" s="57">
        <f t="shared" si="6"/>
        <v>0</v>
      </c>
      <c r="T51" s="57">
        <f>IF(SUM(L$35:L50)&lt;W$10,IF(SUM(L$35:L51)&lt;W$10,0,(SUM(L$35:L51)-W$10)),L51)</f>
        <v>0</v>
      </c>
      <c r="V51">
        <f>SUM(T51:T54)</f>
        <v>0</v>
      </c>
      <c r="W51">
        <f>+V51*F51</f>
        <v>0</v>
      </c>
      <c r="Y51">
        <f>+X51*F51</f>
        <v>0</v>
      </c>
      <c r="Z51"/>
      <c r="AA51"/>
      <c r="AB51"/>
      <c r="AC51"/>
      <c r="AD51"/>
      <c r="AE51"/>
      <c r="AF51"/>
      <c r="AG51"/>
    </row>
    <row r="52" spans="1:35" x14ac:dyDescent="0.3">
      <c r="A52" s="304"/>
      <c r="B52" s="48" t="s">
        <v>70</v>
      </c>
      <c r="C52" s="49">
        <f>+C51</f>
        <v>2018</v>
      </c>
      <c r="D52" s="49">
        <v>18</v>
      </c>
      <c r="E52" s="49">
        <f t="shared" si="1"/>
        <v>1</v>
      </c>
      <c r="F52" s="49">
        <f t="shared" si="2"/>
        <v>1</v>
      </c>
      <c r="G52" s="303"/>
      <c r="H52" s="49"/>
      <c r="I52" s="303"/>
      <c r="J52" s="49"/>
      <c r="K52" s="51"/>
      <c r="L52" s="51"/>
      <c r="M52" s="58">
        <f>IF(SUM(M$35:M51)=K$33,0,IF(SUM(L$35:L52)&lt;$W$10,L52,K$33-SUM(L$35:L51)))</f>
        <v>0</v>
      </c>
      <c r="N52" s="58">
        <f t="shared" si="7"/>
        <v>0</v>
      </c>
      <c r="O52" s="58">
        <f t="shared" si="3"/>
        <v>0</v>
      </c>
      <c r="P52" s="58">
        <f t="shared" si="4"/>
        <v>0</v>
      </c>
      <c r="Q52" s="58">
        <f t="shared" si="8"/>
        <v>0</v>
      </c>
      <c r="R52" s="58">
        <f t="shared" si="5"/>
        <v>0</v>
      </c>
      <c r="S52" s="57">
        <f t="shared" si="6"/>
        <v>0</v>
      </c>
      <c r="T52" s="57">
        <f>IF(SUM(L$35:L51)&lt;W$10,IF(SUM(L$35:L52)&lt;W$10,0,(SUM(L$35:L52)-W$10)),L52)</f>
        <v>0</v>
      </c>
      <c r="V52"/>
      <c r="W52"/>
      <c r="Y52"/>
      <c r="Z52"/>
      <c r="AA52"/>
      <c r="AB52"/>
      <c r="AC52"/>
      <c r="AD52"/>
      <c r="AE52"/>
      <c r="AF52"/>
      <c r="AG52"/>
    </row>
    <row r="53" spans="1:35" x14ac:dyDescent="0.3">
      <c r="A53" s="304"/>
      <c r="B53" s="48" t="s">
        <v>71</v>
      </c>
      <c r="C53" s="49">
        <f>+C51</f>
        <v>2018</v>
      </c>
      <c r="D53" s="49">
        <v>19</v>
      </c>
      <c r="E53" s="49">
        <f t="shared" si="1"/>
        <v>1</v>
      </c>
      <c r="F53" s="49">
        <f t="shared" si="2"/>
        <v>1</v>
      </c>
      <c r="G53" s="303"/>
      <c r="H53" s="49"/>
      <c r="I53" s="303"/>
      <c r="J53" s="49"/>
      <c r="K53" s="51"/>
      <c r="L53" s="51"/>
      <c r="M53" s="58">
        <f>IF(SUM(M$35:M52)=K$33,0,IF(SUM(L$35:L53)&lt;$W$10,L53,K$33-SUM(L$35:L52)))</f>
        <v>0</v>
      </c>
      <c r="N53" s="58">
        <f t="shared" si="7"/>
        <v>0</v>
      </c>
      <c r="O53" s="58">
        <f t="shared" si="3"/>
        <v>0</v>
      </c>
      <c r="P53" s="58">
        <f t="shared" si="4"/>
        <v>0</v>
      </c>
      <c r="Q53" s="58">
        <f t="shared" si="8"/>
        <v>0</v>
      </c>
      <c r="R53" s="58">
        <f t="shared" si="5"/>
        <v>0</v>
      </c>
      <c r="S53" s="57">
        <f t="shared" si="6"/>
        <v>0</v>
      </c>
      <c r="T53" s="57">
        <f>IF(SUM(L$35:L52)&lt;W$10,IF(SUM(L$35:L53)&lt;W$10,0,(SUM(L$35:L53)-W$10)),L53)</f>
        <v>0</v>
      </c>
      <c r="V53"/>
      <c r="W53"/>
      <c r="Y53"/>
      <c r="Z53"/>
      <c r="AA53"/>
      <c r="AB53"/>
      <c r="AC53"/>
      <c r="AD53"/>
      <c r="AE53"/>
      <c r="AF53"/>
      <c r="AG53"/>
    </row>
    <row r="54" spans="1:35" x14ac:dyDescent="0.3">
      <c r="A54" s="304"/>
      <c r="B54" s="48" t="s">
        <v>72</v>
      </c>
      <c r="C54" s="49">
        <f>+C51</f>
        <v>2018</v>
      </c>
      <c r="D54" s="49">
        <v>20</v>
      </c>
      <c r="E54" s="49">
        <f t="shared" si="1"/>
        <v>1</v>
      </c>
      <c r="F54" s="49">
        <f t="shared" si="2"/>
        <v>1</v>
      </c>
      <c r="G54" s="303"/>
      <c r="H54" s="49"/>
      <c r="I54" s="303"/>
      <c r="J54" s="49"/>
      <c r="K54" s="51"/>
      <c r="L54" s="51"/>
      <c r="M54" s="58">
        <f>IF(SUM(M$35:M53)=K$33,0,IF(SUM(L$35:L54)&lt;$W$10,L54,K$33-SUM(L$35:L53)))</f>
        <v>0</v>
      </c>
      <c r="N54" s="58">
        <f t="shared" si="7"/>
        <v>0</v>
      </c>
      <c r="O54" s="58">
        <f t="shared" si="3"/>
        <v>0</v>
      </c>
      <c r="P54" s="58">
        <f t="shared" si="4"/>
        <v>0</v>
      </c>
      <c r="Q54" s="58">
        <f t="shared" si="8"/>
        <v>0</v>
      </c>
      <c r="R54" s="58">
        <f t="shared" si="5"/>
        <v>0</v>
      </c>
      <c r="S54" s="57">
        <f t="shared" si="6"/>
        <v>0</v>
      </c>
      <c r="T54" s="57">
        <f>IF(SUM(L$35:L53)&lt;W$10,IF(SUM(L$35:L54)&lt;W$10,0,(SUM(L$35:L54)-W$10)),L54)</f>
        <v>0</v>
      </c>
      <c r="V54"/>
      <c r="W54"/>
      <c r="Y54"/>
      <c r="Z54"/>
      <c r="AA54" s="1"/>
      <c r="AG54" s="2">
        <v>1</v>
      </c>
      <c r="AH54" s="2" t="s">
        <v>30</v>
      </c>
      <c r="AI54" s="36">
        <v>6.0000000000000001E-3</v>
      </c>
    </row>
    <row r="55" spans="1:35" x14ac:dyDescent="0.3">
      <c r="A55" s="304">
        <v>2019</v>
      </c>
      <c r="B55" s="48" t="s">
        <v>69</v>
      </c>
      <c r="C55" s="49">
        <f>+A55</f>
        <v>2019</v>
      </c>
      <c r="D55" s="49">
        <v>21</v>
      </c>
      <c r="E55" s="49">
        <f t="shared" si="1"/>
        <v>1</v>
      </c>
      <c r="F55" s="49">
        <f t="shared" si="2"/>
        <v>1</v>
      </c>
      <c r="G55" s="303"/>
      <c r="H55" s="58">
        <f>+G55*F55</f>
        <v>0</v>
      </c>
      <c r="I55" s="303"/>
      <c r="J55" s="58">
        <f>+I55*F55</f>
        <v>0</v>
      </c>
      <c r="K55" s="51"/>
      <c r="L55" s="51"/>
      <c r="M55" s="58">
        <f>IF(SUM(M$35:M54)=K$33,0,IF(SUM(L$35:L55)&lt;$W$10,L55,K$33-SUM(L$35:L54)))</f>
        <v>0</v>
      </c>
      <c r="N55" s="58">
        <f t="shared" si="7"/>
        <v>0</v>
      </c>
      <c r="O55" s="58">
        <f t="shared" si="3"/>
        <v>0</v>
      </c>
      <c r="P55" s="58">
        <f t="shared" si="4"/>
        <v>0</v>
      </c>
      <c r="Q55" s="58">
        <f t="shared" si="8"/>
        <v>0</v>
      </c>
      <c r="R55" s="58">
        <f t="shared" si="5"/>
        <v>0</v>
      </c>
      <c r="S55" s="57">
        <f t="shared" si="6"/>
        <v>0</v>
      </c>
      <c r="T55" s="57">
        <f>IF(SUM(L$35:L54)&lt;W$10,IF(SUM(L$35:L55)&lt;W$10,0,(SUM(L$35:L55)-W$10)),L55)</f>
        <v>0</v>
      </c>
      <c r="V55">
        <f>SUM(T55:T58)</f>
        <v>0</v>
      </c>
      <c r="W55">
        <f>+V55*F55</f>
        <v>0</v>
      </c>
      <c r="Y55">
        <f>+X55*F55</f>
        <v>0</v>
      </c>
      <c r="Z55"/>
      <c r="AD55" s="29" t="s">
        <v>41</v>
      </c>
      <c r="AG55" s="2">
        <v>2</v>
      </c>
      <c r="AH55" s="2" t="s">
        <v>33</v>
      </c>
      <c r="AI55" s="36">
        <v>7.4999999999999997E-3</v>
      </c>
    </row>
    <row r="56" spans="1:35" x14ac:dyDescent="0.3">
      <c r="A56" s="304"/>
      <c r="B56" s="48" t="s">
        <v>70</v>
      </c>
      <c r="C56" s="49">
        <f>+C55</f>
        <v>2019</v>
      </c>
      <c r="D56" s="49">
        <v>22</v>
      </c>
      <c r="E56" s="49">
        <f t="shared" si="1"/>
        <v>0.99287611388289032</v>
      </c>
      <c r="F56" s="49">
        <f t="shared" si="2"/>
        <v>1</v>
      </c>
      <c r="G56" s="303"/>
      <c r="H56" s="49"/>
      <c r="I56" s="303"/>
      <c r="J56" s="49"/>
      <c r="K56" s="51"/>
      <c r="L56" s="51"/>
      <c r="M56" s="58">
        <f>IF(SUM(M$35:M55)=K$33,0,IF(SUM(L$35:L56)&lt;$W$10,L56,K$33-SUM(L$35:L55)))</f>
        <v>0</v>
      </c>
      <c r="N56" s="58">
        <f t="shared" si="7"/>
        <v>0</v>
      </c>
      <c r="O56" s="58">
        <f t="shared" si="3"/>
        <v>0</v>
      </c>
      <c r="P56" s="58">
        <f t="shared" si="4"/>
        <v>0</v>
      </c>
      <c r="Q56" s="58">
        <f t="shared" si="8"/>
        <v>0</v>
      </c>
      <c r="R56" s="58">
        <f t="shared" si="5"/>
        <v>0</v>
      </c>
      <c r="S56" s="57">
        <f t="shared" si="6"/>
        <v>0</v>
      </c>
      <c r="T56" s="57">
        <f>IF(SUM(L$35:L55)&lt;W$10,IF(SUM(L$35:L56)&lt;W$10,0,(SUM(L$35:L56)-W$10)),L56)</f>
        <v>0</v>
      </c>
      <c r="V56"/>
      <c r="W56"/>
      <c r="Y56"/>
      <c r="Z56"/>
      <c r="AA56" s="37" t="s">
        <v>45</v>
      </c>
      <c r="AB56" s="38" t="s">
        <v>46</v>
      </c>
      <c r="AC56" s="28"/>
      <c r="AD56" s="39"/>
      <c r="AG56" s="2">
        <v>3</v>
      </c>
      <c r="AH56" s="2" t="s">
        <v>35</v>
      </c>
      <c r="AI56" s="36">
        <v>0.01</v>
      </c>
    </row>
    <row r="57" spans="1:35" x14ac:dyDescent="0.3">
      <c r="A57" s="304"/>
      <c r="B57" s="48" t="s">
        <v>71</v>
      </c>
      <c r="C57" s="49">
        <f>+C55</f>
        <v>2019</v>
      </c>
      <c r="D57" s="49">
        <v>23</v>
      </c>
      <c r="E57" s="49">
        <f t="shared" si="1"/>
        <v>0.98580297751919022</v>
      </c>
      <c r="F57" s="49">
        <f t="shared" si="2"/>
        <v>1</v>
      </c>
      <c r="G57" s="303"/>
      <c r="H57" s="49"/>
      <c r="I57" s="303"/>
      <c r="J57" s="49"/>
      <c r="K57" s="51"/>
      <c r="L57" s="51"/>
      <c r="M57" s="58">
        <f>IF(SUM(M$35:M56)=K$33,0,IF(SUM(L$35:L57)&lt;$W$10,L57,K$33-SUM(L$35:L56)))</f>
        <v>0</v>
      </c>
      <c r="N57" s="58">
        <f t="shared" si="7"/>
        <v>0</v>
      </c>
      <c r="O57" s="58">
        <f t="shared" si="3"/>
        <v>0</v>
      </c>
      <c r="P57" s="58">
        <f t="shared" si="4"/>
        <v>0</v>
      </c>
      <c r="Q57" s="58">
        <f t="shared" si="8"/>
        <v>0</v>
      </c>
      <c r="R57" s="58">
        <f t="shared" si="5"/>
        <v>0</v>
      </c>
      <c r="S57" s="57">
        <f t="shared" si="6"/>
        <v>0</v>
      </c>
      <c r="T57" s="57">
        <f>IF(SUM(L$35:L56)&lt;W$10,IF(SUM(L$35:L57)&lt;W$10,0,(SUM(L$35:L57)-W$10)),L57)</f>
        <v>0</v>
      </c>
      <c r="V57"/>
      <c r="W57"/>
      <c r="Y57"/>
      <c r="Z57"/>
      <c r="AA57" s="37"/>
      <c r="AB57" s="38"/>
      <c r="AC57" s="28"/>
      <c r="AD57" s="39"/>
      <c r="AH57" s="2"/>
      <c r="AI57" s="36"/>
    </row>
    <row r="58" spans="1:35" x14ac:dyDescent="0.3">
      <c r="A58" s="304"/>
      <c r="B58" s="48" t="s">
        <v>72</v>
      </c>
      <c r="C58" s="49">
        <f>+C55</f>
        <v>2019</v>
      </c>
      <c r="D58" s="49">
        <v>24</v>
      </c>
      <c r="E58" s="49">
        <f t="shared" si="1"/>
        <v>0.97878022937343589</v>
      </c>
      <c r="F58" s="49">
        <f t="shared" si="2"/>
        <v>1</v>
      </c>
      <c r="G58" s="303"/>
      <c r="H58" s="49"/>
      <c r="I58" s="303"/>
      <c r="J58" s="49"/>
      <c r="K58" s="51"/>
      <c r="L58" s="51"/>
      <c r="M58" s="58">
        <f>IF(SUM(M$35:M57)=K$33,0,IF(SUM(L$35:L58)&lt;$W$10,L58,K$33-SUM(L$35:L57)))</f>
        <v>0</v>
      </c>
      <c r="N58" s="58">
        <f t="shared" si="7"/>
        <v>0</v>
      </c>
      <c r="O58" s="58">
        <f t="shared" si="3"/>
        <v>0</v>
      </c>
      <c r="P58" s="58">
        <f t="shared" si="4"/>
        <v>0</v>
      </c>
      <c r="Q58" s="58">
        <f t="shared" si="8"/>
        <v>0</v>
      </c>
      <c r="R58" s="58">
        <f t="shared" si="5"/>
        <v>0</v>
      </c>
      <c r="S58" s="57">
        <f t="shared" si="6"/>
        <v>0</v>
      </c>
      <c r="T58" s="57">
        <f>IF(SUM(L$35:L57)&lt;W$10,IF(SUM(L$35:L58)&lt;W$10,0,(SUM(L$35:L58)-W$10)),L58)</f>
        <v>0</v>
      </c>
      <c r="V58"/>
      <c r="W58"/>
      <c r="Y58"/>
      <c r="Z58"/>
      <c r="AB58" s="38" t="s">
        <v>48</v>
      </c>
      <c r="AC58" s="28"/>
      <c r="AD58" s="39"/>
      <c r="AG58" s="2">
        <v>4</v>
      </c>
      <c r="AH58" s="2" t="s">
        <v>38</v>
      </c>
      <c r="AI58" s="36">
        <v>2.1999999999999999E-2</v>
      </c>
    </row>
    <row r="59" spans="1:35" x14ac:dyDescent="0.3">
      <c r="A59" s="304">
        <v>2020</v>
      </c>
      <c r="B59" s="48" t="s">
        <v>69</v>
      </c>
      <c r="C59" s="49">
        <f>+A59</f>
        <v>2020</v>
      </c>
      <c r="D59" s="49">
        <v>25</v>
      </c>
      <c r="E59" s="49">
        <f t="shared" si="1"/>
        <v>0.97180751048570091</v>
      </c>
      <c r="F59" s="49">
        <f t="shared" si="2"/>
        <v>0.97210070963351813</v>
      </c>
      <c r="G59" s="303"/>
      <c r="H59" s="58">
        <f>+G59*F59</f>
        <v>0</v>
      </c>
      <c r="I59" s="303"/>
      <c r="J59" s="58">
        <f>+I59*F59</f>
        <v>0</v>
      </c>
      <c r="K59" s="51"/>
      <c r="L59" s="51"/>
      <c r="M59" s="58">
        <f>IF(SUM(M$35:M58)=K$33,0,IF(SUM(L$35:L59)&lt;$W$10,L59,K$33-SUM(L$35:L58)))</f>
        <v>0</v>
      </c>
      <c r="N59" s="58">
        <f t="shared" si="7"/>
        <v>0</v>
      </c>
      <c r="O59" s="58">
        <f t="shared" si="3"/>
        <v>0</v>
      </c>
      <c r="P59" s="58">
        <f t="shared" si="4"/>
        <v>0</v>
      </c>
      <c r="Q59" s="58">
        <f t="shared" si="8"/>
        <v>0</v>
      </c>
      <c r="R59" s="58">
        <f t="shared" si="5"/>
        <v>0</v>
      </c>
      <c r="S59" s="57">
        <f t="shared" si="6"/>
        <v>0</v>
      </c>
      <c r="T59" s="57">
        <f>IF(SUM(L$35:L58)&lt;W$10,IF(SUM(L$35:L59)&lt;W$10,0,(SUM(L$35:L59)-W$10)),L59)</f>
        <v>0</v>
      </c>
      <c r="V59">
        <f>SUM(T59:T62)</f>
        <v>0</v>
      </c>
      <c r="W59">
        <f>+V59*F59</f>
        <v>0</v>
      </c>
      <c r="Y59">
        <f>+X59*F59</f>
        <v>0</v>
      </c>
      <c r="Z59"/>
      <c r="AA59"/>
      <c r="AB59"/>
      <c r="AC59"/>
      <c r="AD59"/>
      <c r="AE59"/>
      <c r="AF59"/>
      <c r="AG59"/>
    </row>
    <row r="60" spans="1:35" x14ac:dyDescent="0.3">
      <c r="A60" s="304"/>
      <c r="B60" s="48" t="s">
        <v>70</v>
      </c>
      <c r="C60" s="49">
        <f>+C59</f>
        <v>2020</v>
      </c>
      <c r="D60" s="49">
        <v>26</v>
      </c>
      <c r="E60" s="49">
        <f t="shared" si="1"/>
        <v>0.96488446445324882</v>
      </c>
      <c r="F60" s="49">
        <f t="shared" si="2"/>
        <v>0.97210070963351813</v>
      </c>
      <c r="G60" s="303"/>
      <c r="H60" s="49"/>
      <c r="I60" s="303"/>
      <c r="J60" s="49"/>
      <c r="K60" s="51"/>
      <c r="L60" s="51"/>
      <c r="M60" s="58">
        <f>IF(SUM(M$35:M59)=K$33,0,IF(SUM(L$35:L60)&lt;$W$10,L60,K$33-SUM(L$35:L59)))</f>
        <v>0</v>
      </c>
      <c r="N60" s="58">
        <f t="shared" si="7"/>
        <v>0</v>
      </c>
      <c r="O60" s="58">
        <f t="shared" si="3"/>
        <v>0</v>
      </c>
      <c r="P60" s="58">
        <f t="shared" si="4"/>
        <v>0</v>
      </c>
      <c r="Q60" s="58">
        <f t="shared" si="8"/>
        <v>0</v>
      </c>
      <c r="R60" s="58">
        <f t="shared" si="5"/>
        <v>0</v>
      </c>
      <c r="S60" s="57">
        <f t="shared" si="6"/>
        <v>0</v>
      </c>
      <c r="T60" s="57">
        <f>IF(SUM(L$35:L59)&lt;W$10,IF(SUM(L$35:L60)&lt;W$10,0,(SUM(L$35:L60)-W$10)),L60)</f>
        <v>0</v>
      </c>
      <c r="V60"/>
      <c r="W60"/>
      <c r="Y60"/>
      <c r="Z60"/>
      <c r="AA60"/>
      <c r="AB60"/>
      <c r="AC60"/>
      <c r="AD60"/>
      <c r="AE60"/>
      <c r="AF60"/>
      <c r="AG60"/>
    </row>
    <row r="61" spans="1:35" x14ac:dyDescent="0.3">
      <c r="A61" s="304"/>
      <c r="B61" s="48" t="s">
        <v>71</v>
      </c>
      <c r="C61" s="49">
        <f>+C59</f>
        <v>2020</v>
      </c>
      <c r="D61" s="49">
        <v>27</v>
      </c>
      <c r="E61" s="49">
        <f t="shared" si="1"/>
        <v>0.95801073741231557</v>
      </c>
      <c r="F61" s="49">
        <f t="shared" si="2"/>
        <v>0.97210070963351813</v>
      </c>
      <c r="G61" s="303"/>
      <c r="H61" s="49"/>
      <c r="I61" s="303"/>
      <c r="J61" s="49"/>
      <c r="K61" s="51"/>
      <c r="L61" s="51"/>
      <c r="M61" s="58">
        <f>IF(SUM(M$35:M60)=K$33,0,IF(SUM(L$35:L61)&lt;$W$10,L61,K$33-SUM(L$35:L60)))</f>
        <v>0</v>
      </c>
      <c r="N61" s="58">
        <f t="shared" si="7"/>
        <v>0</v>
      </c>
      <c r="O61" s="58">
        <f t="shared" si="3"/>
        <v>0</v>
      </c>
      <c r="P61" s="58">
        <f t="shared" si="4"/>
        <v>0</v>
      </c>
      <c r="Q61" s="58">
        <f t="shared" si="8"/>
        <v>0</v>
      </c>
      <c r="R61" s="58">
        <f t="shared" si="5"/>
        <v>0</v>
      </c>
      <c r="S61" s="57">
        <f t="shared" si="6"/>
        <v>0</v>
      </c>
      <c r="T61" s="57">
        <f>IF(SUM(L$35:L60)&lt;W$10,IF(SUM(L$35:L61)&lt;W$10,0,(SUM(L$35:L61)-W$10)),L61)</f>
        <v>0</v>
      </c>
      <c r="V61"/>
      <c r="W61"/>
      <c r="Y61"/>
      <c r="Z61"/>
      <c r="AA61"/>
      <c r="AB61"/>
      <c r="AC61"/>
      <c r="AD61"/>
      <c r="AE61"/>
      <c r="AF61"/>
      <c r="AG61"/>
    </row>
    <row r="62" spans="1:35" x14ac:dyDescent="0.3">
      <c r="A62" s="304"/>
      <c r="B62" s="48" t="s">
        <v>72</v>
      </c>
      <c r="C62" s="49">
        <f>+C59</f>
        <v>2020</v>
      </c>
      <c r="D62" s="49">
        <v>28</v>
      </c>
      <c r="E62" s="49">
        <f t="shared" si="1"/>
        <v>0.95118597802002203</v>
      </c>
      <c r="F62" s="49">
        <f t="shared" si="2"/>
        <v>0.97210070963351813</v>
      </c>
      <c r="G62" s="303"/>
      <c r="H62" s="49"/>
      <c r="I62" s="303"/>
      <c r="J62" s="49"/>
      <c r="K62" s="51"/>
      <c r="L62" s="51"/>
      <c r="M62" s="58">
        <f>IF(SUM(M$35:M61)=K$33,0,IF(SUM(L$35:L62)&lt;$W$10,L62,K$33-SUM(L$35:L61)))</f>
        <v>0</v>
      </c>
      <c r="N62" s="58">
        <f t="shared" si="7"/>
        <v>0</v>
      </c>
      <c r="O62" s="58">
        <f t="shared" si="3"/>
        <v>0</v>
      </c>
      <c r="P62" s="58">
        <f t="shared" si="4"/>
        <v>0</v>
      </c>
      <c r="Q62" s="58">
        <f t="shared" si="8"/>
        <v>0</v>
      </c>
      <c r="R62" s="58">
        <f t="shared" si="5"/>
        <v>0</v>
      </c>
      <c r="S62" s="57">
        <f t="shared" si="6"/>
        <v>0</v>
      </c>
      <c r="T62" s="57">
        <f>IF(SUM(L$35:L61)&lt;W$10,IF(SUM(L$35:L62)&lt;W$10,0,(SUM(L$35:L62)-W$10)),L62)</f>
        <v>0</v>
      </c>
      <c r="V62"/>
      <c r="W62"/>
      <c r="Y62"/>
      <c r="Z62"/>
      <c r="AA62"/>
      <c r="AB62"/>
      <c r="AC62"/>
      <c r="AD62"/>
      <c r="AE62"/>
      <c r="AF62"/>
      <c r="AG62"/>
    </row>
    <row r="63" spans="1:35" x14ac:dyDescent="0.3">
      <c r="A63" s="304">
        <v>2021</v>
      </c>
      <c r="B63" s="48" t="s">
        <v>69</v>
      </c>
      <c r="C63" s="49">
        <f>+A63</f>
        <v>2021</v>
      </c>
      <c r="D63" s="49">
        <v>29</v>
      </c>
      <c r="E63" s="49">
        <f t="shared" si="1"/>
        <v>0.94440983743641571</v>
      </c>
      <c r="F63" s="49">
        <f t="shared" si="2"/>
        <v>0.94497978966998941</v>
      </c>
      <c r="G63" s="303"/>
      <c r="H63" s="58">
        <f>+G63*F63</f>
        <v>0</v>
      </c>
      <c r="I63" s="303"/>
      <c r="J63" s="58">
        <f>+I63*F63</f>
        <v>0</v>
      </c>
      <c r="K63" s="51"/>
      <c r="L63" s="51"/>
      <c r="M63" s="58">
        <f>IF(SUM(M$35:M62)=K$33,0,IF(SUM(L$35:L63)&lt;$W$10,L63,K$33-SUM(L$35:L62)))</f>
        <v>0</v>
      </c>
      <c r="N63" s="58">
        <f t="shared" si="7"/>
        <v>0</v>
      </c>
      <c r="O63" s="58">
        <f t="shared" si="3"/>
        <v>0</v>
      </c>
      <c r="P63" s="58">
        <f t="shared" si="4"/>
        <v>0</v>
      </c>
      <c r="Q63" s="58">
        <f t="shared" si="8"/>
        <v>0</v>
      </c>
      <c r="R63" s="58">
        <f t="shared" si="5"/>
        <v>0</v>
      </c>
      <c r="S63" s="57">
        <f t="shared" si="6"/>
        <v>0</v>
      </c>
      <c r="T63" s="57">
        <f>IF(SUM(L$35:L62)&lt;W$10,IF(SUM(L$35:L63)&lt;W$10,0,(SUM(L$35:L63)-W$10)),L63)</f>
        <v>0</v>
      </c>
      <c r="V63">
        <f>SUM(T63:T66)</f>
        <v>0</v>
      </c>
      <c r="W63">
        <f>+V63*F63</f>
        <v>0</v>
      </c>
      <c r="Y63">
        <f>+X63*F63</f>
        <v>0</v>
      </c>
      <c r="Z63"/>
      <c r="AA63"/>
      <c r="AB63"/>
      <c r="AC63"/>
      <c r="AD63"/>
      <c r="AE63"/>
      <c r="AF63"/>
      <c r="AG63"/>
    </row>
    <row r="64" spans="1:35" x14ac:dyDescent="0.3">
      <c r="A64" s="304"/>
      <c r="B64" s="48" t="s">
        <v>70</v>
      </c>
      <c r="C64" s="49">
        <f>+C63</f>
        <v>2021</v>
      </c>
      <c r="D64" s="49">
        <v>30</v>
      </c>
      <c r="E64" s="49">
        <f t="shared" si="1"/>
        <v>0.93768196930664061</v>
      </c>
      <c r="F64" s="49">
        <f t="shared" si="2"/>
        <v>0.94497978966998941</v>
      </c>
      <c r="G64" s="303"/>
      <c r="H64" s="49"/>
      <c r="I64" s="303"/>
      <c r="J64" s="49"/>
      <c r="K64" s="51"/>
      <c r="L64" s="51"/>
      <c r="M64" s="58">
        <f>IF(SUM(M$35:M63)=K$33,0,IF(SUM(L$35:L64)&lt;$W$10,L64,K$33-SUM(L$35:L63)))</f>
        <v>0</v>
      </c>
      <c r="N64" s="58">
        <f t="shared" si="7"/>
        <v>0</v>
      </c>
      <c r="O64" s="58">
        <f t="shared" si="3"/>
        <v>0</v>
      </c>
      <c r="P64" s="58">
        <f t="shared" si="4"/>
        <v>0</v>
      </c>
      <c r="Q64" s="58">
        <f t="shared" si="8"/>
        <v>0</v>
      </c>
      <c r="R64" s="58">
        <f t="shared" si="5"/>
        <v>0</v>
      </c>
      <c r="S64" s="57">
        <f t="shared" si="6"/>
        <v>0</v>
      </c>
      <c r="T64" s="57">
        <f>IF(SUM(L$35:L63)&lt;W$10,IF(SUM(L$35:L64)&lt;W$10,0,(SUM(L$35:L64)-W$10)),L64)</f>
        <v>0</v>
      </c>
      <c r="V64"/>
      <c r="W64"/>
      <c r="Y64"/>
      <c r="Z64"/>
      <c r="AA64"/>
      <c r="AB64"/>
      <c r="AC64"/>
      <c r="AD64"/>
      <c r="AE64"/>
      <c r="AF64"/>
      <c r="AG64"/>
    </row>
    <row r="65" spans="1:33" x14ac:dyDescent="0.3">
      <c r="A65" s="304"/>
      <c r="B65" s="48" t="s">
        <v>71</v>
      </c>
      <c r="C65" s="49">
        <f>+C63</f>
        <v>2021</v>
      </c>
      <c r="D65" s="49">
        <v>31</v>
      </c>
      <c r="E65" s="49">
        <f t="shared" si="1"/>
        <v>0.93100202974323298</v>
      </c>
      <c r="F65" s="49">
        <f t="shared" si="2"/>
        <v>0.94497978966998941</v>
      </c>
      <c r="G65" s="303"/>
      <c r="H65" s="49"/>
      <c r="I65" s="303"/>
      <c r="J65" s="49"/>
      <c r="K65" s="51"/>
      <c r="L65" s="51"/>
      <c r="M65" s="58">
        <f>IF(SUM(M$35:M64)=K$33,0,IF(SUM(L$35:L65)&lt;$W$10,L65,K$33-SUM(L$35:L64)))</f>
        <v>0</v>
      </c>
      <c r="N65" s="58">
        <f t="shared" si="7"/>
        <v>0</v>
      </c>
      <c r="O65" s="58">
        <f t="shared" si="3"/>
        <v>0</v>
      </c>
      <c r="P65" s="58">
        <f t="shared" si="4"/>
        <v>0</v>
      </c>
      <c r="Q65" s="58">
        <f t="shared" si="8"/>
        <v>0</v>
      </c>
      <c r="R65" s="58">
        <f t="shared" si="5"/>
        <v>0</v>
      </c>
      <c r="S65" s="57">
        <f t="shared" si="6"/>
        <v>0</v>
      </c>
      <c r="T65" s="57">
        <f>IF(SUM(L$35:L64)&lt;W$10,IF(SUM(L$35:L65)&lt;W$10,0,(SUM(L$35:L65)-W$10)),L65)</f>
        <v>0</v>
      </c>
      <c r="V65"/>
      <c r="W65"/>
      <c r="Y65"/>
      <c r="Z65"/>
      <c r="AA65"/>
      <c r="AB65"/>
      <c r="AC65"/>
      <c r="AD65"/>
      <c r="AE65"/>
      <c r="AF65"/>
      <c r="AG65"/>
    </row>
    <row r="66" spans="1:33" x14ac:dyDescent="0.3">
      <c r="A66" s="304"/>
      <c r="B66" s="48" t="s">
        <v>72</v>
      </c>
      <c r="C66" s="49">
        <f>+C63</f>
        <v>2021</v>
      </c>
      <c r="D66" s="49">
        <v>32</v>
      </c>
      <c r="E66" s="49">
        <f t="shared" si="1"/>
        <v>0.92436967730854414</v>
      </c>
      <c r="F66" s="49">
        <f t="shared" si="2"/>
        <v>0.94497978966998941</v>
      </c>
      <c r="G66" s="303"/>
      <c r="H66" s="49"/>
      <c r="I66" s="303"/>
      <c r="J66" s="49"/>
      <c r="K66" s="51"/>
      <c r="L66" s="51"/>
      <c r="M66" s="58">
        <f>IF(SUM(M$35:M65)=K$33,0,IF(SUM(L$35:L66)&lt;$W$10,L66,K$33-SUM(L$35:L65)))</f>
        <v>0</v>
      </c>
      <c r="N66" s="58">
        <f t="shared" si="7"/>
        <v>0</v>
      </c>
      <c r="O66" s="58">
        <f t="shared" si="3"/>
        <v>0</v>
      </c>
      <c r="P66" s="58">
        <f t="shared" si="4"/>
        <v>0</v>
      </c>
      <c r="Q66" s="58">
        <f t="shared" si="8"/>
        <v>0</v>
      </c>
      <c r="R66" s="58">
        <f t="shared" si="5"/>
        <v>0</v>
      </c>
      <c r="S66" s="57">
        <f t="shared" si="6"/>
        <v>0</v>
      </c>
      <c r="T66" s="57">
        <f>IF(SUM(L$35:L65)&lt;W$10,IF(SUM(L$35:L66)&lt;W$10,0,(SUM(L$35:L66)-W$10)),L66)</f>
        <v>0</v>
      </c>
      <c r="V66"/>
      <c r="W66"/>
      <c r="Y66"/>
      <c r="Z66"/>
      <c r="AA66"/>
      <c r="AB66"/>
      <c r="AC66"/>
      <c r="AD66"/>
      <c r="AE66"/>
      <c r="AF66"/>
      <c r="AG66"/>
    </row>
    <row r="67" spans="1:33" x14ac:dyDescent="0.3">
      <c r="A67" s="304">
        <v>2022</v>
      </c>
      <c r="B67" s="48" t="s">
        <v>69</v>
      </c>
      <c r="C67" s="49">
        <f>+A67</f>
        <v>2022</v>
      </c>
      <c r="D67" s="49">
        <v>33</v>
      </c>
      <c r="E67" s="49">
        <f t="shared" ref="E67:E98" si="9">IF(D67&lt;$B$11,1,(1/(1+$K$17/4)^(D67-$B$11+1)))</f>
        <v>0.91778457299728855</v>
      </c>
      <c r="F67" s="49">
        <f t="shared" ref="F67:F98" si="10">IF(C67&lt;($B$9+1),1,(1/(1+$K$17)^(C67-$B$9)))</f>
        <v>0.91861552412752945</v>
      </c>
      <c r="G67" s="303"/>
      <c r="H67" s="58">
        <f>+G67*F67</f>
        <v>0</v>
      </c>
      <c r="I67" s="303"/>
      <c r="J67" s="58">
        <f>+I67*F67</f>
        <v>0</v>
      </c>
      <c r="K67" s="51"/>
      <c r="L67" s="51"/>
      <c r="M67" s="58">
        <f>IF(SUM(M$35:M66)=K$33,0,IF(SUM(L$35:L67)&lt;$W$10,L67,K$33-SUM(L$35:L66)))</f>
        <v>0</v>
      </c>
      <c r="N67" s="58">
        <f t="shared" si="7"/>
        <v>0</v>
      </c>
      <c r="O67" s="58">
        <f t="shared" ref="O67:O98" si="11">+N67*($K$21/4)</f>
        <v>0</v>
      </c>
      <c r="P67" s="58">
        <f t="shared" ref="P67:P98" si="12">+N67*($K$20/4)</f>
        <v>0</v>
      </c>
      <c r="Q67" s="58">
        <f t="shared" si="8"/>
        <v>0</v>
      </c>
      <c r="R67" s="58">
        <f t="shared" si="5"/>
        <v>0</v>
      </c>
      <c r="S67" s="57">
        <f t="shared" ref="S67:S98" si="13">+L67-T67</f>
        <v>0</v>
      </c>
      <c r="T67" s="57">
        <f>IF(SUM(L$35:L66)&lt;W$10,IF(SUM(L$35:L67)&lt;W$10,0,(SUM(L$35:L67)-W$10)),L67)</f>
        <v>0</v>
      </c>
      <c r="V67">
        <f>SUM(T67:T70)</f>
        <v>0</v>
      </c>
      <c r="W67">
        <f>+V67*F67</f>
        <v>0</v>
      </c>
      <c r="Y67">
        <f>+X67*F67</f>
        <v>0</v>
      </c>
      <c r="Z67"/>
      <c r="AA67"/>
      <c r="AB67"/>
      <c r="AC67"/>
      <c r="AD67"/>
      <c r="AE67"/>
      <c r="AF67"/>
      <c r="AG67"/>
    </row>
    <row r="68" spans="1:33" x14ac:dyDescent="0.3">
      <c r="A68" s="304"/>
      <c r="B68" s="48" t="s">
        <v>70</v>
      </c>
      <c r="C68" s="49">
        <f>+C67</f>
        <v>2022</v>
      </c>
      <c r="D68" s="49">
        <v>34</v>
      </c>
      <c r="E68" s="49">
        <f t="shared" si="9"/>
        <v>0.91124638021921578</v>
      </c>
      <c r="F68" s="49">
        <f t="shared" si="10"/>
        <v>0.91861552412752945</v>
      </c>
      <c r="G68" s="303"/>
      <c r="H68" s="49"/>
      <c r="I68" s="303"/>
      <c r="J68" s="49"/>
      <c r="K68" s="51"/>
      <c r="L68" s="51"/>
      <c r="M68" s="58">
        <f>IF(SUM(M$35:M67)=K$33,0,IF(SUM(L$35:L68)&lt;$W$10,L68,K$33-SUM(L$35:L67)))</f>
        <v>0</v>
      </c>
      <c r="N68" s="58">
        <f t="shared" si="7"/>
        <v>0</v>
      </c>
      <c r="O68" s="58">
        <f t="shared" si="11"/>
        <v>0</v>
      </c>
      <c r="P68" s="58">
        <f t="shared" si="12"/>
        <v>0</v>
      </c>
      <c r="Q68" s="58">
        <f t="shared" si="8"/>
        <v>0</v>
      </c>
      <c r="R68" s="58">
        <f t="shared" si="5"/>
        <v>0</v>
      </c>
      <c r="S68" s="57">
        <f t="shared" si="13"/>
        <v>0</v>
      </c>
      <c r="T68" s="57">
        <f>IF(SUM(L$35:L67)&lt;W$10,IF(SUM(L$35:L68)&lt;W$10,0,(SUM(L$35:L68)-W$10)),L68)</f>
        <v>0</v>
      </c>
      <c r="V68"/>
      <c r="W68"/>
      <c r="Y68"/>
      <c r="Z68"/>
      <c r="AA68"/>
      <c r="AB68"/>
      <c r="AC68"/>
      <c r="AD68"/>
      <c r="AE68"/>
      <c r="AF68"/>
      <c r="AG68"/>
    </row>
    <row r="69" spans="1:33" x14ac:dyDescent="0.3">
      <c r="A69" s="304"/>
      <c r="B69" s="48" t="s">
        <v>71</v>
      </c>
      <c r="C69" s="49">
        <f>+C67</f>
        <v>2022</v>
      </c>
      <c r="D69" s="49">
        <v>35</v>
      </c>
      <c r="E69" s="49">
        <f t="shared" si="9"/>
        <v>0.90475476478190553</v>
      </c>
      <c r="F69" s="49">
        <f t="shared" si="10"/>
        <v>0.91861552412752945</v>
      </c>
      <c r="G69" s="303"/>
      <c r="H69" s="49"/>
      <c r="I69" s="303"/>
      <c r="J69" s="49"/>
      <c r="K69" s="51"/>
      <c r="L69" s="51"/>
      <c r="M69" s="58">
        <f>IF(SUM(M$35:M68)=K$33,0,IF(SUM(L$35:L69)&lt;$W$10,L69,K$33-SUM(L$35:L68)))</f>
        <v>0</v>
      </c>
      <c r="N69" s="58">
        <f t="shared" si="7"/>
        <v>0</v>
      </c>
      <c r="O69" s="58">
        <f t="shared" si="11"/>
        <v>0</v>
      </c>
      <c r="P69" s="58">
        <f t="shared" si="12"/>
        <v>0</v>
      </c>
      <c r="Q69" s="58">
        <f t="shared" si="8"/>
        <v>0</v>
      </c>
      <c r="R69" s="58">
        <f t="shared" si="5"/>
        <v>0</v>
      </c>
      <c r="S69" s="57">
        <f t="shared" si="13"/>
        <v>0</v>
      </c>
      <c r="T69" s="57">
        <f>IF(SUM(L$35:L68)&lt;W$10,IF(SUM(L$35:L69)&lt;W$10,0,(SUM(L$35:L69)-W$10)),L69)</f>
        <v>0</v>
      </c>
      <c r="V69"/>
      <c r="W69"/>
      <c r="Y69"/>
      <c r="Z69"/>
      <c r="AA69"/>
      <c r="AB69"/>
      <c r="AC69"/>
      <c r="AD69"/>
      <c r="AE69"/>
      <c r="AF69"/>
      <c r="AG69"/>
    </row>
    <row r="70" spans="1:33" x14ac:dyDescent="0.3">
      <c r="A70" s="304"/>
      <c r="B70" s="48" t="s">
        <v>72</v>
      </c>
      <c r="C70" s="49">
        <f>+C67</f>
        <v>2022</v>
      </c>
      <c r="D70" s="49">
        <v>36</v>
      </c>
      <c r="E70" s="49">
        <f t="shared" si="9"/>
        <v>0.89830939487368711</v>
      </c>
      <c r="F70" s="49">
        <f t="shared" si="10"/>
        <v>0.91861552412752945</v>
      </c>
      <c r="G70" s="303"/>
      <c r="H70" s="49"/>
      <c r="I70" s="303"/>
      <c r="J70" s="49"/>
      <c r="K70" s="51"/>
      <c r="L70" s="51"/>
      <c r="M70" s="58">
        <f>IF(SUM(M$35:M69)=K$33,0,IF(SUM(L$35:L70)&lt;$W$10,L70,K$33-SUM(L$35:L69)))</f>
        <v>0</v>
      </c>
      <c r="N70" s="58">
        <f t="shared" si="7"/>
        <v>0</v>
      </c>
      <c r="O70" s="58">
        <f t="shared" si="11"/>
        <v>0</v>
      </c>
      <c r="P70" s="58">
        <f t="shared" si="12"/>
        <v>0</v>
      </c>
      <c r="Q70" s="58">
        <f t="shared" si="8"/>
        <v>0</v>
      </c>
      <c r="R70" s="58">
        <f t="shared" si="5"/>
        <v>0</v>
      </c>
      <c r="S70" s="57">
        <f t="shared" si="13"/>
        <v>0</v>
      </c>
      <c r="T70" s="57">
        <f>IF(SUM(L$35:L69)&lt;W$10,IF(SUM(L$35:L70)&lt;W$10,0,(SUM(L$35:L70)-W$10)),L70)</f>
        <v>0</v>
      </c>
      <c r="V70"/>
      <c r="W70"/>
      <c r="Y70"/>
      <c r="Z70"/>
      <c r="AA70"/>
      <c r="AB70"/>
      <c r="AC70"/>
      <c r="AD70"/>
      <c r="AE70"/>
      <c r="AF70"/>
      <c r="AG70"/>
    </row>
    <row r="71" spans="1:33" x14ac:dyDescent="0.3">
      <c r="A71" s="304">
        <v>2023</v>
      </c>
      <c r="B71" s="48" t="s">
        <v>69</v>
      </c>
      <c r="C71" s="49">
        <f>+A71</f>
        <v>2023</v>
      </c>
      <c r="D71" s="49">
        <v>37</v>
      </c>
      <c r="E71" s="49">
        <f t="shared" si="9"/>
        <v>0.89190994104667709</v>
      </c>
      <c r="F71" s="49">
        <f t="shared" si="10"/>
        <v>0.89298680288473742</v>
      </c>
      <c r="G71" s="303"/>
      <c r="H71" s="58">
        <f>+G71*F71</f>
        <v>0</v>
      </c>
      <c r="I71" s="303"/>
      <c r="J71" s="58">
        <f>+I71*F71</f>
        <v>0</v>
      </c>
      <c r="K71" s="51"/>
      <c r="L71" s="51"/>
      <c r="M71" s="58">
        <f>IF(SUM(M$35:M70)=K$33,0,IF(SUM(L$35:L71)&lt;$W$10,L71,K$33-SUM(L$35:L70)))</f>
        <v>0</v>
      </c>
      <c r="N71" s="58">
        <f t="shared" si="7"/>
        <v>0</v>
      </c>
      <c r="O71" s="58">
        <f t="shared" si="11"/>
        <v>0</v>
      </c>
      <c r="P71" s="58">
        <f t="shared" si="12"/>
        <v>0</v>
      </c>
      <c r="Q71" s="58">
        <f t="shared" si="8"/>
        <v>0</v>
      </c>
      <c r="R71" s="58">
        <f t="shared" si="5"/>
        <v>0</v>
      </c>
      <c r="S71" s="57">
        <f t="shared" si="13"/>
        <v>0</v>
      </c>
      <c r="T71" s="57">
        <f>IF(SUM(L$35:L70)&lt;W$10,IF(SUM(L$35:L71)&lt;W$10,0,(SUM(L$35:L71)-W$10)),L71)</f>
        <v>0</v>
      </c>
      <c r="V71">
        <f>SUM(T71:T74)</f>
        <v>0</v>
      </c>
      <c r="W71">
        <f>+V71*F71</f>
        <v>0</v>
      </c>
      <c r="Y71">
        <f>+X71*F71</f>
        <v>0</v>
      </c>
      <c r="Z71"/>
      <c r="AA71"/>
      <c r="AB71"/>
      <c r="AC71"/>
      <c r="AD71"/>
      <c r="AE71"/>
      <c r="AF71"/>
      <c r="AG71"/>
    </row>
    <row r="72" spans="1:33" x14ac:dyDescent="0.3">
      <c r="A72" s="304"/>
      <c r="B72" s="48" t="s">
        <v>70</v>
      </c>
      <c r="C72" s="49">
        <f>+C71</f>
        <v>2023</v>
      </c>
      <c r="D72" s="49">
        <v>38</v>
      </c>
      <c r="E72" s="49">
        <f t="shared" si="9"/>
        <v>0.88555607619994259</v>
      </c>
      <c r="F72" s="49">
        <f t="shared" si="10"/>
        <v>0.89298680288473742</v>
      </c>
      <c r="G72" s="303"/>
      <c r="H72" s="49"/>
      <c r="I72" s="303"/>
      <c r="J72" s="49"/>
      <c r="K72" s="51"/>
      <c r="L72" s="51"/>
      <c r="M72" s="58">
        <f>IF(SUM(M$35:M71)=K$33,0,IF(SUM(L$35:L72)&lt;$W$10,L72,K$33-SUM(L$35:L71)))</f>
        <v>0</v>
      </c>
      <c r="N72" s="58">
        <f t="shared" si="7"/>
        <v>0</v>
      </c>
      <c r="O72" s="58">
        <f t="shared" si="11"/>
        <v>0</v>
      </c>
      <c r="P72" s="58">
        <f t="shared" si="12"/>
        <v>0</v>
      </c>
      <c r="Q72" s="58">
        <f t="shared" si="8"/>
        <v>0</v>
      </c>
      <c r="R72" s="58">
        <f t="shared" si="5"/>
        <v>0</v>
      </c>
      <c r="S72" s="57">
        <f t="shared" si="13"/>
        <v>0</v>
      </c>
      <c r="T72" s="57">
        <f>IF(SUM(L$35:L71)&lt;W$10,IF(SUM(L$35:L72)&lt;W$10,0,(SUM(L$35:L72)-W$10)),L72)</f>
        <v>0</v>
      </c>
      <c r="V72"/>
      <c r="W72"/>
      <c r="Y72"/>
      <c r="Z72"/>
      <c r="AA72"/>
      <c r="AB72"/>
      <c r="AC72"/>
      <c r="AD72"/>
      <c r="AE72"/>
      <c r="AF72"/>
      <c r="AG72"/>
    </row>
    <row r="73" spans="1:33" x14ac:dyDescent="0.3">
      <c r="A73" s="304"/>
      <c r="B73" s="48" t="s">
        <v>71</v>
      </c>
      <c r="C73" s="49">
        <f>+C71</f>
        <v>2023</v>
      </c>
      <c r="D73" s="49">
        <v>39</v>
      </c>
      <c r="E73" s="49">
        <f t="shared" si="9"/>
        <v>0.87924747556277971</v>
      </c>
      <c r="F73" s="49">
        <f t="shared" si="10"/>
        <v>0.89298680288473742</v>
      </c>
      <c r="G73" s="303"/>
      <c r="H73" s="49"/>
      <c r="I73" s="303"/>
      <c r="J73" s="49"/>
      <c r="K73" s="51"/>
      <c r="L73" s="51"/>
      <c r="M73" s="58">
        <f>IF(SUM(M$35:M72)=K$33,0,IF(SUM(L$35:L73)&lt;$W$10,L73,K$33-SUM(L$35:L72)))</f>
        <v>0</v>
      </c>
      <c r="N73" s="58">
        <f t="shared" si="7"/>
        <v>0</v>
      </c>
      <c r="O73" s="58">
        <f t="shared" si="11"/>
        <v>0</v>
      </c>
      <c r="P73" s="58">
        <f t="shared" si="12"/>
        <v>0</v>
      </c>
      <c r="Q73" s="58">
        <f t="shared" si="8"/>
        <v>0</v>
      </c>
      <c r="R73" s="58">
        <f t="shared" si="5"/>
        <v>0</v>
      </c>
      <c r="S73" s="57">
        <f t="shared" si="13"/>
        <v>0</v>
      </c>
      <c r="T73" s="57">
        <f>IF(SUM(L$35:L72)&lt;W$10,IF(SUM(L$35:L73)&lt;W$10,0,(SUM(L$35:L73)-W$10)),L73)</f>
        <v>0</v>
      </c>
      <c r="V73"/>
      <c r="W73"/>
      <c r="Y73"/>
      <c r="Z73"/>
      <c r="AA73"/>
      <c r="AB73"/>
      <c r="AC73"/>
      <c r="AD73"/>
      <c r="AE73"/>
      <c r="AF73"/>
      <c r="AG73"/>
    </row>
    <row r="74" spans="1:33" x14ac:dyDescent="0.3">
      <c r="A74" s="304"/>
      <c r="B74" s="48" t="s">
        <v>72</v>
      </c>
      <c r="C74" s="49">
        <f>+C71</f>
        <v>2023</v>
      </c>
      <c r="D74" s="49">
        <v>40</v>
      </c>
      <c r="E74" s="49">
        <f t="shared" si="9"/>
        <v>0.87298381667811431</v>
      </c>
      <c r="F74" s="49">
        <f t="shared" si="10"/>
        <v>0.89298680288473742</v>
      </c>
      <c r="G74" s="303"/>
      <c r="H74" s="49"/>
      <c r="I74" s="303"/>
      <c r="J74" s="49"/>
      <c r="K74" s="51"/>
      <c r="L74" s="51"/>
      <c r="M74" s="58">
        <f>IF(SUM(M$35:M73)=K$33,0,IF(SUM(L$35:L74)&lt;$W$10,L74,K$33-SUM(L$35:L73)))</f>
        <v>0</v>
      </c>
      <c r="N74" s="58">
        <f t="shared" si="7"/>
        <v>0</v>
      </c>
      <c r="O74" s="58">
        <f t="shared" si="11"/>
        <v>0</v>
      </c>
      <c r="P74" s="58">
        <f t="shared" si="12"/>
        <v>0</v>
      </c>
      <c r="Q74" s="58">
        <f t="shared" si="8"/>
        <v>0</v>
      </c>
      <c r="R74" s="58">
        <f t="shared" si="5"/>
        <v>0</v>
      </c>
      <c r="S74" s="57">
        <f t="shared" si="13"/>
        <v>0</v>
      </c>
      <c r="T74" s="57">
        <f>IF(SUM(L$35:L73)&lt;W$10,IF(SUM(L$35:L74)&lt;W$10,0,(SUM(L$35:L74)-W$10)),L74)</f>
        <v>0</v>
      </c>
      <c r="V74"/>
      <c r="W74"/>
      <c r="Y74"/>
      <c r="Z74"/>
      <c r="AA74"/>
      <c r="AB74"/>
      <c r="AC74"/>
      <c r="AD74"/>
      <c r="AE74"/>
      <c r="AF74"/>
      <c r="AG74"/>
    </row>
    <row r="75" spans="1:33" x14ac:dyDescent="0.3">
      <c r="A75" s="304">
        <v>2024</v>
      </c>
      <c r="B75" s="48" t="s">
        <v>69</v>
      </c>
      <c r="C75" s="49">
        <f>+A75</f>
        <v>2024</v>
      </c>
      <c r="D75" s="49">
        <v>41</v>
      </c>
      <c r="E75" s="49">
        <f t="shared" si="9"/>
        <v>0.86676477938601948</v>
      </c>
      <c r="F75" s="49">
        <f t="shared" si="10"/>
        <v>0.8680731047776199</v>
      </c>
      <c r="G75" s="303"/>
      <c r="H75" s="58">
        <f>+G75*F75</f>
        <v>0</v>
      </c>
      <c r="I75" s="303"/>
      <c r="J75" s="58">
        <f>+I75*F75</f>
        <v>0</v>
      </c>
      <c r="K75" s="51"/>
      <c r="L75" s="51"/>
      <c r="M75" s="58">
        <f>IF(SUM(M$35:M74)=K$33,0,IF(SUM(L$35:L75)&lt;$W$10,L75,K$33-SUM(L$35:L74)))</f>
        <v>0</v>
      </c>
      <c r="N75" s="58">
        <f t="shared" si="7"/>
        <v>0</v>
      </c>
      <c r="O75" s="58">
        <f t="shared" si="11"/>
        <v>0</v>
      </c>
      <c r="P75" s="58">
        <f t="shared" si="12"/>
        <v>0</v>
      </c>
      <c r="Q75" s="58">
        <f t="shared" si="8"/>
        <v>0</v>
      </c>
      <c r="R75" s="58">
        <f t="shared" si="5"/>
        <v>0</v>
      </c>
      <c r="S75" s="57">
        <f t="shared" si="13"/>
        <v>0</v>
      </c>
      <c r="T75" s="57">
        <f>IF(SUM(L$35:L74)&lt;W$10,IF(SUM(L$35:L75)&lt;W$10,0,(SUM(L$35:L75)-W$10)),L75)</f>
        <v>0</v>
      </c>
      <c r="V75">
        <f>SUM(T75:T78)</f>
        <v>0</v>
      </c>
      <c r="W75">
        <f>+V75*F75</f>
        <v>0</v>
      </c>
      <c r="Y75">
        <f>+X75*F75</f>
        <v>0</v>
      </c>
      <c r="Z75"/>
      <c r="AA75"/>
      <c r="AB75"/>
      <c r="AC75"/>
      <c r="AD75"/>
      <c r="AE75"/>
      <c r="AF75"/>
      <c r="AG75"/>
    </row>
    <row r="76" spans="1:33" x14ac:dyDescent="0.3">
      <c r="A76" s="304"/>
      <c r="B76" s="48" t="s">
        <v>70</v>
      </c>
      <c r="C76" s="49">
        <f>+C75</f>
        <v>2024</v>
      </c>
      <c r="D76" s="49">
        <v>42</v>
      </c>
      <c r="E76" s="49">
        <f t="shared" si="9"/>
        <v>0.86059004580735177</v>
      </c>
      <c r="F76" s="49">
        <f t="shared" si="10"/>
        <v>0.8680731047776199</v>
      </c>
      <c r="G76" s="303"/>
      <c r="H76" s="49"/>
      <c r="I76" s="303"/>
      <c r="J76" s="49"/>
      <c r="K76" s="51"/>
      <c r="L76" s="51"/>
      <c r="M76" s="58">
        <f>IF(SUM(M$35:M75)=K$33,0,IF(SUM(L$35:L76)&lt;$W$10,L76,K$33-SUM(L$35:L75)))</f>
        <v>0</v>
      </c>
      <c r="N76" s="58">
        <f t="shared" si="7"/>
        <v>0</v>
      </c>
      <c r="O76" s="58">
        <f t="shared" si="11"/>
        <v>0</v>
      </c>
      <c r="P76" s="58">
        <f t="shared" si="12"/>
        <v>0</v>
      </c>
      <c r="Q76" s="58">
        <f t="shared" si="8"/>
        <v>0</v>
      </c>
      <c r="R76" s="58">
        <f t="shared" si="5"/>
        <v>0</v>
      </c>
      <c r="S76" s="57">
        <f t="shared" si="13"/>
        <v>0</v>
      </c>
      <c r="T76" s="57">
        <f>IF(SUM(L$35:L75)&lt;W$10,IF(SUM(L$35:L76)&lt;W$10,0,(SUM(L$35:L76)-W$10)),L76)</f>
        <v>0</v>
      </c>
      <c r="V76"/>
      <c r="W76"/>
      <c r="Y76"/>
      <c r="Z76"/>
      <c r="AA76"/>
      <c r="AB76"/>
      <c r="AC76"/>
      <c r="AD76"/>
      <c r="AE76"/>
      <c r="AF76"/>
      <c r="AG76"/>
    </row>
    <row r="77" spans="1:33" x14ac:dyDescent="0.3">
      <c r="A77" s="304"/>
      <c r="B77" s="48" t="s">
        <v>71</v>
      </c>
      <c r="C77" s="49">
        <f>+C75</f>
        <v>2024</v>
      </c>
      <c r="D77" s="49">
        <v>43</v>
      </c>
      <c r="E77" s="49">
        <f t="shared" si="9"/>
        <v>0.85445930032750195</v>
      </c>
      <c r="F77" s="49">
        <f t="shared" si="10"/>
        <v>0.8680731047776199</v>
      </c>
      <c r="G77" s="303"/>
      <c r="H77" s="49"/>
      <c r="I77" s="303"/>
      <c r="J77" s="49"/>
      <c r="K77" s="51"/>
      <c r="L77" s="51"/>
      <c r="M77" s="58">
        <f>IF(SUM(M$35:M76)=K$33,0,IF(SUM(L$35:L77)&lt;$W$10,L77,K$33-SUM(L$35:L76)))</f>
        <v>0</v>
      </c>
      <c r="N77" s="58">
        <f t="shared" si="7"/>
        <v>0</v>
      </c>
      <c r="O77" s="58">
        <f t="shared" si="11"/>
        <v>0</v>
      </c>
      <c r="P77" s="58">
        <f t="shared" si="12"/>
        <v>0</v>
      </c>
      <c r="Q77" s="58">
        <f t="shared" si="8"/>
        <v>0</v>
      </c>
      <c r="R77" s="58">
        <f t="shared" si="5"/>
        <v>0</v>
      </c>
      <c r="S77" s="57">
        <f t="shared" si="13"/>
        <v>0</v>
      </c>
      <c r="T77" s="57">
        <f>IF(SUM(L$35:L76)&lt;W$10,IF(SUM(L$35:L77)&lt;W$10,0,(SUM(L$35:L77)-W$10)),L77)</f>
        <v>0</v>
      </c>
      <c r="V77"/>
      <c r="W77"/>
      <c r="Y77"/>
      <c r="Z77"/>
      <c r="AA77"/>
      <c r="AB77"/>
      <c r="AC77"/>
      <c r="AD77"/>
      <c r="AE77"/>
      <c r="AF77"/>
      <c r="AG77"/>
    </row>
    <row r="78" spans="1:33" x14ac:dyDescent="0.3">
      <c r="A78" s="304"/>
      <c r="B78" s="48" t="s">
        <v>72</v>
      </c>
      <c r="C78" s="49">
        <f>+C75</f>
        <v>2024</v>
      </c>
      <c r="D78" s="49">
        <v>44</v>
      </c>
      <c r="E78" s="49">
        <f t="shared" si="9"/>
        <v>0.84837222958026359</v>
      </c>
      <c r="F78" s="49">
        <f t="shared" si="10"/>
        <v>0.8680731047776199</v>
      </c>
      <c r="G78" s="303"/>
      <c r="H78" s="49"/>
      <c r="I78" s="303"/>
      <c r="J78" s="49"/>
      <c r="K78" s="51"/>
      <c r="L78" s="51"/>
      <c r="M78" s="58">
        <f>IF(SUM(M$35:M77)=K$33,0,IF(SUM(L$35:L78)&lt;$W$10,L78,K$33-SUM(L$35:L77)))</f>
        <v>0</v>
      </c>
      <c r="N78" s="58">
        <f t="shared" si="7"/>
        <v>0</v>
      </c>
      <c r="O78" s="58">
        <f t="shared" si="11"/>
        <v>0</v>
      </c>
      <c r="P78" s="58">
        <f t="shared" si="12"/>
        <v>0</v>
      </c>
      <c r="Q78" s="58">
        <f t="shared" si="8"/>
        <v>0</v>
      </c>
      <c r="R78" s="58">
        <f t="shared" si="5"/>
        <v>0</v>
      </c>
      <c r="S78" s="57">
        <f t="shared" si="13"/>
        <v>0</v>
      </c>
      <c r="T78" s="57">
        <f>IF(SUM(L$35:L77)&lt;W$10,IF(SUM(L$35:L78)&lt;W$10,0,(SUM(L$35:L78)-W$10)),L78)</f>
        <v>0</v>
      </c>
      <c r="V78"/>
      <c r="W78"/>
      <c r="Y78"/>
      <c r="Z78"/>
      <c r="AA78"/>
      <c r="AB78"/>
      <c r="AC78"/>
      <c r="AD78"/>
      <c r="AE78"/>
      <c r="AF78"/>
      <c r="AG78"/>
    </row>
    <row r="79" spans="1:33" x14ac:dyDescent="0.3">
      <c r="A79" s="304">
        <v>2025</v>
      </c>
      <c r="B79" s="48" t="s">
        <v>69</v>
      </c>
      <c r="C79" s="49">
        <f>+A79</f>
        <v>2025</v>
      </c>
      <c r="D79" s="49">
        <v>45</v>
      </c>
      <c r="E79" s="49">
        <f t="shared" si="9"/>
        <v>0.84232852243181544</v>
      </c>
      <c r="F79" s="49">
        <f t="shared" si="10"/>
        <v>0.84385448116809547</v>
      </c>
      <c r="G79" s="303"/>
      <c r="H79" s="58">
        <f>+G79*F79</f>
        <v>0</v>
      </c>
      <c r="I79" s="303"/>
      <c r="J79" s="58">
        <f>+I79*F79</f>
        <v>0</v>
      </c>
      <c r="K79" s="51"/>
      <c r="L79" s="51"/>
      <c r="M79" s="58">
        <f>IF(SUM(M$35:M78)=K$33,0,IF(SUM(L$35:L79)&lt;$W$10,L79,K$33-SUM(L$35:L78)))</f>
        <v>0</v>
      </c>
      <c r="N79" s="58">
        <f t="shared" si="7"/>
        <v>0</v>
      </c>
      <c r="O79" s="58">
        <f t="shared" si="11"/>
        <v>0</v>
      </c>
      <c r="P79" s="58">
        <f t="shared" si="12"/>
        <v>0</v>
      </c>
      <c r="Q79" s="58">
        <f t="shared" si="8"/>
        <v>0</v>
      </c>
      <c r="R79" s="58">
        <f t="shared" si="5"/>
        <v>0</v>
      </c>
      <c r="S79" s="57">
        <f t="shared" si="13"/>
        <v>0</v>
      </c>
      <c r="T79" s="57">
        <f>IF(SUM(L$35:L78)&lt;W$10,IF(SUM(L$35:L79)&lt;W$10,0,(SUM(L$35:L79)-W$10)),L79)</f>
        <v>0</v>
      </c>
      <c r="V79">
        <f>SUM(T79:T82)</f>
        <v>0</v>
      </c>
      <c r="W79">
        <f>+V79*F79</f>
        <v>0</v>
      </c>
      <c r="Y79">
        <f>+X79*F79</f>
        <v>0</v>
      </c>
      <c r="Z79"/>
      <c r="AA79"/>
      <c r="AB79"/>
      <c r="AC79"/>
      <c r="AD79"/>
      <c r="AE79"/>
      <c r="AF79"/>
      <c r="AG79"/>
    </row>
    <row r="80" spans="1:33" x14ac:dyDescent="0.3">
      <c r="A80" s="304"/>
      <c r="B80" s="48" t="s">
        <v>70</v>
      </c>
      <c r="C80" s="49">
        <f>+C79</f>
        <v>2025</v>
      </c>
      <c r="D80" s="49">
        <v>46</v>
      </c>
      <c r="E80" s="49">
        <f t="shared" si="9"/>
        <v>0.83632786996481789</v>
      </c>
      <c r="F80" s="49">
        <f t="shared" si="10"/>
        <v>0.84385448116809547</v>
      </c>
      <c r="G80" s="303"/>
      <c r="H80" s="49"/>
      <c r="I80" s="303"/>
      <c r="J80" s="49"/>
      <c r="K80" s="51"/>
      <c r="L80" s="51"/>
      <c r="M80" s="58">
        <f>IF(SUM(M$35:M79)=K$33,0,IF(SUM(L$35:L80)&lt;$W$10,L80,K$33-SUM(L$35:L79)))</f>
        <v>0</v>
      </c>
      <c r="N80" s="58">
        <f t="shared" si="7"/>
        <v>0</v>
      </c>
      <c r="O80" s="58">
        <f t="shared" si="11"/>
        <v>0</v>
      </c>
      <c r="P80" s="58">
        <f t="shared" si="12"/>
        <v>0</v>
      </c>
      <c r="Q80" s="58">
        <f t="shared" si="8"/>
        <v>0</v>
      </c>
      <c r="R80" s="58">
        <f t="shared" si="5"/>
        <v>0</v>
      </c>
      <c r="S80" s="57">
        <f t="shared" si="13"/>
        <v>0</v>
      </c>
      <c r="T80" s="57">
        <f>IF(SUM(L$35:L79)&lt;W$10,IF(SUM(L$35:L80)&lt;W$10,0,(SUM(L$35:L80)-W$10)),L80)</f>
        <v>0</v>
      </c>
      <c r="V80"/>
      <c r="W80"/>
      <c r="Y80"/>
      <c r="Z80"/>
      <c r="AA80"/>
      <c r="AB80"/>
      <c r="AC80"/>
      <c r="AD80"/>
      <c r="AE80"/>
      <c r="AF80"/>
      <c r="AG80"/>
    </row>
    <row r="81" spans="1:33" x14ac:dyDescent="0.3">
      <c r="A81" s="304"/>
      <c r="B81" s="48" t="s">
        <v>71</v>
      </c>
      <c r="C81" s="49">
        <f>+C79</f>
        <v>2025</v>
      </c>
      <c r="D81" s="49">
        <v>47</v>
      </c>
      <c r="E81" s="49">
        <f t="shared" si="9"/>
        <v>0.83036996546262376</v>
      </c>
      <c r="F81" s="49">
        <f t="shared" si="10"/>
        <v>0.84385448116809547</v>
      </c>
      <c r="G81" s="303"/>
      <c r="H81" s="49"/>
      <c r="I81" s="303"/>
      <c r="J81" s="49"/>
      <c r="K81" s="51"/>
      <c r="L81" s="51"/>
      <c r="M81" s="58">
        <f>IF(SUM(M$35:M80)=K$33,0,IF(SUM(L$35:L81)&lt;$W$10,L81,K$33-SUM(L$35:L80)))</f>
        <v>0</v>
      </c>
      <c r="N81" s="58">
        <f t="shared" si="7"/>
        <v>0</v>
      </c>
      <c r="O81" s="58">
        <f t="shared" si="11"/>
        <v>0</v>
      </c>
      <c r="P81" s="58">
        <f t="shared" si="12"/>
        <v>0</v>
      </c>
      <c r="Q81" s="58">
        <f t="shared" si="8"/>
        <v>0</v>
      </c>
      <c r="R81" s="58">
        <f t="shared" si="5"/>
        <v>0</v>
      </c>
      <c r="S81" s="57">
        <f t="shared" si="13"/>
        <v>0</v>
      </c>
      <c r="T81" s="57">
        <f>IF(SUM(L$35:L80)&lt;W$10,IF(SUM(L$35:L81)&lt;W$10,0,(SUM(L$35:L81)-W$10)),L81)</f>
        <v>0</v>
      </c>
      <c r="V81"/>
      <c r="W81"/>
      <c r="Y81"/>
      <c r="Z81"/>
      <c r="AA81"/>
      <c r="AB81"/>
      <c r="AC81"/>
      <c r="AD81"/>
      <c r="AE81"/>
      <c r="AF81"/>
      <c r="AG81"/>
    </row>
    <row r="82" spans="1:33" x14ac:dyDescent="0.3">
      <c r="A82" s="304"/>
      <c r="B82" s="48" t="s">
        <v>72</v>
      </c>
      <c r="C82" s="49">
        <f>+C79</f>
        <v>2025</v>
      </c>
      <c r="D82" s="49">
        <v>48</v>
      </c>
      <c r="E82" s="49">
        <f t="shared" si="9"/>
        <v>0.82445450439359957</v>
      </c>
      <c r="F82" s="49">
        <f t="shared" si="10"/>
        <v>0.84385448116809547</v>
      </c>
      <c r="G82" s="303"/>
      <c r="H82" s="49"/>
      <c r="I82" s="303"/>
      <c r="J82" s="49"/>
      <c r="K82" s="51"/>
      <c r="L82" s="51"/>
      <c r="M82" s="58">
        <f>IF(SUM(M$35:M81)=K$33,0,IF(SUM(L$35:L82)&lt;$W$10,L82,K$33-SUM(L$35:L81)))</f>
        <v>0</v>
      </c>
      <c r="N82" s="58">
        <f t="shared" si="7"/>
        <v>0</v>
      </c>
      <c r="O82" s="58">
        <f t="shared" si="11"/>
        <v>0</v>
      </c>
      <c r="P82" s="58">
        <f t="shared" si="12"/>
        <v>0</v>
      </c>
      <c r="Q82" s="58">
        <f t="shared" si="8"/>
        <v>0</v>
      </c>
      <c r="R82" s="58">
        <f t="shared" si="5"/>
        <v>0</v>
      </c>
      <c r="S82" s="57">
        <f t="shared" si="13"/>
        <v>0</v>
      </c>
      <c r="T82" s="57">
        <f>IF(SUM(L$35:L81)&lt;W$10,IF(SUM(L$35:L82)&lt;W$10,0,(SUM(L$35:L82)-W$10)),L82)</f>
        <v>0</v>
      </c>
      <c r="V82"/>
      <c r="W82"/>
      <c r="Y82"/>
      <c r="Z82"/>
      <c r="AA82"/>
      <c r="AB82"/>
      <c r="AC82"/>
      <c r="AD82"/>
      <c r="AE82"/>
      <c r="AF82"/>
      <c r="AG82"/>
    </row>
    <row r="83" spans="1:33" x14ac:dyDescent="0.3">
      <c r="A83" s="304">
        <v>2026</v>
      </c>
      <c r="B83" s="48" t="s">
        <v>69</v>
      </c>
      <c r="C83" s="49">
        <f>+A83</f>
        <v>2026</v>
      </c>
      <c r="D83" s="49">
        <v>49</v>
      </c>
      <c r="E83" s="49">
        <f t="shared" si="9"/>
        <v>0.81858118439556138</v>
      </c>
      <c r="F83" s="49">
        <f t="shared" si="10"/>
        <v>0.82031153997092987</v>
      </c>
      <c r="G83" s="303"/>
      <c r="H83" s="58">
        <f>+G83*F83</f>
        <v>0</v>
      </c>
      <c r="I83" s="303"/>
      <c r="J83" s="58">
        <f>+I83*F83</f>
        <v>0</v>
      </c>
      <c r="K83" s="51"/>
      <c r="L83" s="51"/>
      <c r="M83" s="58">
        <f>IF(SUM(M$35:M82)=K$33,0,IF(SUM(L$35:L83)&lt;$W$10,L83,K$33-SUM(L$35:L82)))</f>
        <v>0</v>
      </c>
      <c r="N83" s="58">
        <f t="shared" si="7"/>
        <v>0</v>
      </c>
      <c r="O83" s="58">
        <f t="shared" si="11"/>
        <v>0</v>
      </c>
      <c r="P83" s="58">
        <f t="shared" si="12"/>
        <v>0</v>
      </c>
      <c r="Q83" s="58">
        <f t="shared" si="8"/>
        <v>0</v>
      </c>
      <c r="R83" s="58">
        <f t="shared" si="5"/>
        <v>0</v>
      </c>
      <c r="S83" s="57">
        <f t="shared" si="13"/>
        <v>0</v>
      </c>
      <c r="T83" s="57">
        <f>IF(SUM(L$35:L82)&lt;W$10,IF(SUM(L$35:L83)&lt;W$10,0,(SUM(L$35:L83)-W$10)),L83)</f>
        <v>0</v>
      </c>
      <c r="V83">
        <f>SUM(T83:T86)</f>
        <v>0</v>
      </c>
      <c r="W83">
        <f>+V83*F83</f>
        <v>0</v>
      </c>
      <c r="Y83">
        <f>+X83*F83</f>
        <v>0</v>
      </c>
      <c r="Z83"/>
      <c r="AA83"/>
      <c r="AB83"/>
      <c r="AC83"/>
      <c r="AD83"/>
      <c r="AE83"/>
      <c r="AF83"/>
      <c r="AG83"/>
    </row>
    <row r="84" spans="1:33" x14ac:dyDescent="0.3">
      <c r="A84" s="304"/>
      <c r="B84" s="48" t="s">
        <v>70</v>
      </c>
      <c r="C84" s="49">
        <f>+C83</f>
        <v>2026</v>
      </c>
      <c r="D84" s="49">
        <v>50</v>
      </c>
      <c r="E84" s="49">
        <f t="shared" si="9"/>
        <v>0.81274970526031864</v>
      </c>
      <c r="F84" s="49">
        <f t="shared" si="10"/>
        <v>0.82031153997092987</v>
      </c>
      <c r="G84" s="303"/>
      <c r="H84" s="49"/>
      <c r="I84" s="303"/>
      <c r="J84" s="49"/>
      <c r="K84" s="51"/>
      <c r="L84" s="51"/>
      <c r="M84" s="58">
        <f>IF(SUM(M$35:M83)=K$33,0,IF(SUM(L$35:L84)&lt;$W$10,L84,K$33-SUM(L$35:L83)))</f>
        <v>0</v>
      </c>
      <c r="N84" s="58">
        <f t="shared" si="7"/>
        <v>0</v>
      </c>
      <c r="O84" s="58">
        <f t="shared" si="11"/>
        <v>0</v>
      </c>
      <c r="P84" s="58">
        <f t="shared" si="12"/>
        <v>0</v>
      </c>
      <c r="Q84" s="58">
        <f t="shared" si="8"/>
        <v>0</v>
      </c>
      <c r="R84" s="58">
        <f t="shared" si="5"/>
        <v>0</v>
      </c>
      <c r="S84" s="57">
        <f t="shared" si="13"/>
        <v>0</v>
      </c>
      <c r="T84" s="57">
        <f>IF(SUM(L$35:L83)&lt;W$10,IF(SUM(L$35:L84)&lt;W$10,0,(SUM(L$35:L84)-W$10)),L84)</f>
        <v>0</v>
      </c>
      <c r="V84"/>
      <c r="W84"/>
      <c r="Y84"/>
      <c r="Z84"/>
      <c r="AA84"/>
      <c r="AB84"/>
      <c r="AC84"/>
      <c r="AD84"/>
      <c r="AE84"/>
      <c r="AF84"/>
      <c r="AG84"/>
    </row>
    <row r="85" spans="1:33" x14ac:dyDescent="0.3">
      <c r="A85" s="304"/>
      <c r="B85" s="48" t="s">
        <v>71</v>
      </c>
      <c r="C85" s="49">
        <f>+C83</f>
        <v>2026</v>
      </c>
      <c r="D85" s="49">
        <v>51</v>
      </c>
      <c r="E85" s="49">
        <f t="shared" si="9"/>
        <v>0.80695976891832966</v>
      </c>
      <c r="F85" s="49">
        <f t="shared" si="10"/>
        <v>0.82031153997092987</v>
      </c>
      <c r="G85" s="303"/>
      <c r="H85" s="49"/>
      <c r="I85" s="303"/>
      <c r="J85" s="49"/>
      <c r="K85" s="51"/>
      <c r="L85" s="51"/>
      <c r="M85" s="58">
        <f>IF(SUM(M$35:M84)=K$33,0,IF(SUM(L$35:L85)&lt;$W$10,L85,K$33-SUM(L$35:L84)))</f>
        <v>0</v>
      </c>
      <c r="N85" s="58">
        <f t="shared" si="7"/>
        <v>0</v>
      </c>
      <c r="O85" s="58">
        <f t="shared" si="11"/>
        <v>0</v>
      </c>
      <c r="P85" s="58">
        <f t="shared" si="12"/>
        <v>0</v>
      </c>
      <c r="Q85" s="58">
        <f t="shared" si="8"/>
        <v>0</v>
      </c>
      <c r="R85" s="58">
        <f t="shared" si="5"/>
        <v>0</v>
      </c>
      <c r="S85" s="57">
        <f t="shared" si="13"/>
        <v>0</v>
      </c>
      <c r="T85" s="57">
        <f>IF(SUM(L$35:L84)&lt;W$10,IF(SUM(L$35:L85)&lt;W$10,0,(SUM(L$35:L85)-W$10)),L85)</f>
        <v>0</v>
      </c>
      <c r="V85"/>
      <c r="W85"/>
      <c r="Y85"/>
      <c r="Z85"/>
      <c r="AA85"/>
      <c r="AB85"/>
      <c r="AC85"/>
      <c r="AD85"/>
      <c r="AE85"/>
      <c r="AF85"/>
      <c r="AG85"/>
    </row>
    <row r="86" spans="1:33" x14ac:dyDescent="0.3">
      <c r="A86" s="304"/>
      <c r="B86" s="48" t="s">
        <v>72</v>
      </c>
      <c r="C86" s="49">
        <f>+C83</f>
        <v>2026</v>
      </c>
      <c r="D86" s="49">
        <v>52</v>
      </c>
      <c r="E86" s="49">
        <f t="shared" si="9"/>
        <v>0.80121107942346648</v>
      </c>
      <c r="F86" s="49">
        <f t="shared" si="10"/>
        <v>0.82031153997092987</v>
      </c>
      <c r="G86" s="303"/>
      <c r="H86" s="49"/>
      <c r="I86" s="303"/>
      <c r="J86" s="49"/>
      <c r="K86" s="51"/>
      <c r="L86" s="51"/>
      <c r="M86" s="58">
        <f>IF(SUM(M$35:M85)=K$33,0,IF(SUM(L$35:L86)&lt;$W$10,L86,K$33-SUM(L$35:L85)))</f>
        <v>0</v>
      </c>
      <c r="N86" s="58">
        <f t="shared" si="7"/>
        <v>0</v>
      </c>
      <c r="O86" s="58">
        <f t="shared" si="11"/>
        <v>0</v>
      </c>
      <c r="P86" s="58">
        <f t="shared" si="12"/>
        <v>0</v>
      </c>
      <c r="Q86" s="58">
        <f t="shared" si="8"/>
        <v>0</v>
      </c>
      <c r="R86" s="58">
        <f t="shared" si="5"/>
        <v>0</v>
      </c>
      <c r="S86" s="57">
        <f t="shared" si="13"/>
        <v>0</v>
      </c>
      <c r="T86" s="57">
        <f>IF(SUM(L$35:L85)&lt;W$10,IF(SUM(L$35:L86)&lt;W$10,0,(SUM(L$35:L86)-W$10)),L86)</f>
        <v>0</v>
      </c>
      <c r="V86"/>
      <c r="W86"/>
      <c r="Y86"/>
      <c r="Z86"/>
      <c r="AA86"/>
      <c r="AB86"/>
      <c r="AC86"/>
      <c r="AD86"/>
      <c r="AE86"/>
      <c r="AF86"/>
      <c r="AG86"/>
    </row>
    <row r="87" spans="1:33" x14ac:dyDescent="0.3">
      <c r="A87" s="304">
        <v>2027</v>
      </c>
      <c r="B87" s="48" t="s">
        <v>69</v>
      </c>
      <c r="C87" s="49">
        <f>+A87</f>
        <v>2027</v>
      </c>
      <c r="D87" s="49">
        <v>53</v>
      </c>
      <c r="E87" s="49">
        <f t="shared" si="9"/>
        <v>0.79550334293788705</v>
      </c>
      <c r="F87" s="49">
        <f t="shared" si="10"/>
        <v>0.79742543012630485</v>
      </c>
      <c r="G87" s="303"/>
      <c r="H87" s="58">
        <f>+G87*F87</f>
        <v>0</v>
      </c>
      <c r="I87" s="303"/>
      <c r="J87" s="58">
        <f>+I87*F87</f>
        <v>0</v>
      </c>
      <c r="K87" s="51"/>
      <c r="L87" s="51"/>
      <c r="M87" s="58">
        <f>IF(SUM(M$35:M86)=K$33,0,IF(SUM(L$35:L87)&lt;$W$10,L87,K$33-SUM(L$35:L86)))</f>
        <v>0</v>
      </c>
      <c r="N87" s="58">
        <f t="shared" si="7"/>
        <v>0</v>
      </c>
      <c r="O87" s="58">
        <f t="shared" si="11"/>
        <v>0</v>
      </c>
      <c r="P87" s="58">
        <f t="shared" si="12"/>
        <v>0</v>
      </c>
      <c r="Q87" s="58">
        <f t="shared" si="8"/>
        <v>0</v>
      </c>
      <c r="R87" s="58">
        <f t="shared" si="5"/>
        <v>0</v>
      </c>
      <c r="S87" s="57">
        <f t="shared" si="13"/>
        <v>0</v>
      </c>
      <c r="T87" s="57">
        <f>IF(SUM(L$35:L86)&lt;W$10,IF(SUM(L$35:L87)&lt;W$10,0,(SUM(L$35:L87)-W$10)),L87)</f>
        <v>0</v>
      </c>
      <c r="V87">
        <f>SUM(T87:T90)</f>
        <v>0</v>
      </c>
      <c r="W87">
        <f>+V87*F87</f>
        <v>0</v>
      </c>
      <c r="Y87">
        <f>+X87*F87</f>
        <v>0</v>
      </c>
      <c r="Z87"/>
      <c r="AA87"/>
      <c r="AB87"/>
      <c r="AC87"/>
      <c r="AD87"/>
      <c r="AE87"/>
      <c r="AF87"/>
      <c r="AG87"/>
    </row>
    <row r="88" spans="1:33" x14ac:dyDescent="0.3">
      <c r="A88" s="304"/>
      <c r="B88" s="48" t="s">
        <v>70</v>
      </c>
      <c r="C88" s="49">
        <f>+C87</f>
        <v>2027</v>
      </c>
      <c r="D88" s="49">
        <v>54</v>
      </c>
      <c r="E88" s="49">
        <f t="shared" si="9"/>
        <v>0.78983626771701754</v>
      </c>
      <c r="F88" s="49">
        <f t="shared" si="10"/>
        <v>0.79742543012630485</v>
      </c>
      <c r="G88" s="303"/>
      <c r="H88" s="49"/>
      <c r="I88" s="303"/>
      <c r="J88" s="49"/>
      <c r="K88" s="51"/>
      <c r="L88" s="51"/>
      <c r="M88" s="58">
        <f>IF(SUM(M$35:M87)=K$33,0,IF(SUM(L$35:L88)&lt;$W$10,L88,K$33-SUM(L$35:L87)))</f>
        <v>0</v>
      </c>
      <c r="N88" s="58">
        <f t="shared" si="7"/>
        <v>0</v>
      </c>
      <c r="O88" s="58">
        <f t="shared" si="11"/>
        <v>0</v>
      </c>
      <c r="P88" s="58">
        <f t="shared" si="12"/>
        <v>0</v>
      </c>
      <c r="Q88" s="58">
        <f t="shared" si="8"/>
        <v>0</v>
      </c>
      <c r="R88" s="58">
        <f t="shared" si="5"/>
        <v>0</v>
      </c>
      <c r="S88" s="57">
        <f t="shared" si="13"/>
        <v>0</v>
      </c>
      <c r="T88" s="57">
        <f>IF(SUM(L$35:L87)&lt;W$10,IF(SUM(L$35:L88)&lt;W$10,0,(SUM(L$35:L88)-W$10)),L88)</f>
        <v>0</v>
      </c>
      <c r="V88"/>
      <c r="W88"/>
      <c r="Y88"/>
      <c r="Z88"/>
      <c r="AA88"/>
      <c r="AB88"/>
      <c r="AC88"/>
      <c r="AD88"/>
      <c r="AE88"/>
      <c r="AF88"/>
      <c r="AG88"/>
    </row>
    <row r="89" spans="1:33" x14ac:dyDescent="0.3">
      <c r="A89" s="304"/>
      <c r="B89" s="48" t="s">
        <v>71</v>
      </c>
      <c r="C89" s="49">
        <f>+C87</f>
        <v>2027</v>
      </c>
      <c r="D89" s="49">
        <v>55</v>
      </c>
      <c r="E89" s="49">
        <f t="shared" si="9"/>
        <v>0.78420956409463849</v>
      </c>
      <c r="F89" s="49">
        <f t="shared" si="10"/>
        <v>0.79742543012630485</v>
      </c>
      <c r="G89" s="303"/>
      <c r="H89" s="49"/>
      <c r="I89" s="303"/>
      <c r="J89" s="49"/>
      <c r="K89" s="51"/>
      <c r="L89" s="51"/>
      <c r="M89" s="58">
        <f>IF(SUM(M$35:M88)=K$33,0,IF(SUM(L$35:L89)&lt;$W$10,L89,K$33-SUM(L$35:L88)))</f>
        <v>0</v>
      </c>
      <c r="N89" s="58">
        <f t="shared" si="7"/>
        <v>0</v>
      </c>
      <c r="O89" s="58">
        <f t="shared" si="11"/>
        <v>0</v>
      </c>
      <c r="P89" s="58">
        <f t="shared" si="12"/>
        <v>0</v>
      </c>
      <c r="Q89" s="58">
        <f t="shared" si="8"/>
        <v>0</v>
      </c>
      <c r="R89" s="58">
        <f t="shared" si="5"/>
        <v>0</v>
      </c>
      <c r="S89" s="57">
        <f t="shared" si="13"/>
        <v>0</v>
      </c>
      <c r="T89" s="57">
        <f>IF(SUM(L$35:L88)&lt;W$10,IF(SUM(L$35:L89)&lt;W$10,0,(SUM(L$35:L89)-W$10)),L89)</f>
        <v>0</v>
      </c>
      <c r="V89"/>
      <c r="W89"/>
      <c r="Y89"/>
      <c r="Z89"/>
      <c r="AA89"/>
      <c r="AB89"/>
      <c r="AC89"/>
      <c r="AD89"/>
      <c r="AE89"/>
      <c r="AF89"/>
      <c r="AG89"/>
    </row>
    <row r="90" spans="1:33" x14ac:dyDescent="0.3">
      <c r="A90" s="304"/>
      <c r="B90" s="48" t="s">
        <v>72</v>
      </c>
      <c r="C90" s="49">
        <f>+C87</f>
        <v>2027</v>
      </c>
      <c r="D90" s="49">
        <v>56</v>
      </c>
      <c r="E90" s="49">
        <f t="shared" si="9"/>
        <v>0.77862294446808011</v>
      </c>
      <c r="F90" s="49">
        <f t="shared" si="10"/>
        <v>0.79742543012630485</v>
      </c>
      <c r="G90" s="303"/>
      <c r="H90" s="49"/>
      <c r="I90" s="303"/>
      <c r="J90" s="49"/>
      <c r="K90" s="51"/>
      <c r="L90" s="51"/>
      <c r="M90" s="58">
        <f>IF(SUM(M$35:M89)=K$33,0,IF(SUM(L$35:L90)&lt;$W$10,L90,K$33-SUM(L$35:L89)))</f>
        <v>0</v>
      </c>
      <c r="N90" s="58">
        <f t="shared" si="7"/>
        <v>0</v>
      </c>
      <c r="O90" s="58">
        <f t="shared" si="11"/>
        <v>0</v>
      </c>
      <c r="P90" s="58">
        <f t="shared" si="12"/>
        <v>0</v>
      </c>
      <c r="Q90" s="58">
        <f t="shared" si="8"/>
        <v>0</v>
      </c>
      <c r="R90" s="58">
        <f t="shared" si="5"/>
        <v>0</v>
      </c>
      <c r="S90" s="57">
        <f t="shared" si="13"/>
        <v>0</v>
      </c>
      <c r="T90" s="57">
        <f>IF(SUM(L$35:L89)&lt;W$10,IF(SUM(L$35:L90)&lt;W$10,0,(SUM(L$35:L90)-W$10)),L90)</f>
        <v>0</v>
      </c>
      <c r="V90"/>
      <c r="W90"/>
      <c r="Y90"/>
      <c r="Z90"/>
      <c r="AA90"/>
      <c r="AB90"/>
      <c r="AC90"/>
      <c r="AD90"/>
      <c r="AE90"/>
      <c r="AF90"/>
      <c r="AG90"/>
    </row>
    <row r="91" spans="1:33" x14ac:dyDescent="0.3">
      <c r="A91" s="304">
        <v>2028</v>
      </c>
      <c r="B91" s="48" t="s">
        <v>69</v>
      </c>
      <c r="C91" s="49">
        <f>+A91</f>
        <v>2028</v>
      </c>
      <c r="D91" s="49">
        <v>57</v>
      </c>
      <c r="E91" s="49">
        <f t="shared" si="9"/>
        <v>0.77307612328352082</v>
      </c>
      <c r="F91" s="49">
        <f t="shared" si="10"/>
        <v>0.7751778265055943</v>
      </c>
      <c r="G91" s="303"/>
      <c r="H91" s="58">
        <f>+G91*F91</f>
        <v>0</v>
      </c>
      <c r="I91" s="303"/>
      <c r="J91" s="58">
        <f>+I91*F91</f>
        <v>0</v>
      </c>
      <c r="K91" s="51"/>
      <c r="L91" s="51"/>
      <c r="M91" s="58">
        <f>IF(SUM(M$35:M90)=K$33,0,IF(SUM(L$35:L91)&lt;$W$10,L91,K$33-SUM(L$35:L90)))</f>
        <v>0</v>
      </c>
      <c r="N91" s="58">
        <f t="shared" si="7"/>
        <v>0</v>
      </c>
      <c r="O91" s="58">
        <f t="shared" si="11"/>
        <v>0</v>
      </c>
      <c r="P91" s="58">
        <f t="shared" si="12"/>
        <v>0</v>
      </c>
      <c r="Q91" s="58">
        <f t="shared" si="8"/>
        <v>0</v>
      </c>
      <c r="R91" s="58">
        <f t="shared" si="5"/>
        <v>0</v>
      </c>
      <c r="S91" s="57">
        <f t="shared" si="13"/>
        <v>0</v>
      </c>
      <c r="T91" s="57">
        <f>IF(SUM(L$35:L90)&lt;W$10,IF(SUM(L$35:L91)&lt;W$10,0,(SUM(L$35:L91)-W$10)),L91)</f>
        <v>0</v>
      </c>
      <c r="V91">
        <f>SUM(T91:T94)</f>
        <v>0</v>
      </c>
      <c r="W91">
        <f>+V91*F91</f>
        <v>0</v>
      </c>
      <c r="Y91">
        <f>+X91*F91</f>
        <v>0</v>
      </c>
      <c r="Z91"/>
      <c r="AA91"/>
      <c r="AB91"/>
      <c r="AC91"/>
      <c r="AD91"/>
      <c r="AE91"/>
      <c r="AF91"/>
      <c r="AG91"/>
    </row>
    <row r="92" spans="1:33" x14ac:dyDescent="0.3">
      <c r="A92" s="304"/>
      <c r="B92" s="48" t="s">
        <v>70</v>
      </c>
      <c r="C92" s="49">
        <f>+C91</f>
        <v>2028</v>
      </c>
      <c r="D92" s="49">
        <v>58</v>
      </c>
      <c r="E92" s="49">
        <f t="shared" si="9"/>
        <v>0.76756881702139235</v>
      </c>
      <c r="F92" s="49">
        <f t="shared" si="10"/>
        <v>0.7751778265055943</v>
      </c>
      <c r="G92" s="303"/>
      <c r="H92" s="49"/>
      <c r="I92" s="303"/>
      <c r="J92" s="49"/>
      <c r="K92" s="51"/>
      <c r="L92" s="51"/>
      <c r="M92" s="58">
        <f>IF(SUM(M$35:M91)=K$33,0,IF(SUM(L$35:L92)&lt;$W$10,L92,K$33-SUM(L$35:L91)))</f>
        <v>0</v>
      </c>
      <c r="N92" s="58">
        <f t="shared" si="7"/>
        <v>0</v>
      </c>
      <c r="O92" s="58">
        <f t="shared" si="11"/>
        <v>0</v>
      </c>
      <c r="P92" s="58">
        <f t="shared" si="12"/>
        <v>0</v>
      </c>
      <c r="Q92" s="58">
        <f t="shared" si="8"/>
        <v>0</v>
      </c>
      <c r="R92" s="58">
        <f t="shared" si="5"/>
        <v>0</v>
      </c>
      <c r="S92" s="57">
        <f t="shared" si="13"/>
        <v>0</v>
      </c>
      <c r="T92" s="57">
        <f>IF(SUM(L$35:L91)&lt;W$10,IF(SUM(L$35:L92)&lt;W$10,0,(SUM(L$35:L92)-W$10)),L92)</f>
        <v>0</v>
      </c>
      <c r="V92"/>
      <c r="W92"/>
      <c r="Y92"/>
      <c r="Z92"/>
      <c r="AA92"/>
      <c r="AB92"/>
      <c r="AC92"/>
      <c r="AD92"/>
      <c r="AE92"/>
      <c r="AF92"/>
      <c r="AG92"/>
    </row>
    <row r="93" spans="1:33" x14ac:dyDescent="0.3">
      <c r="A93" s="304"/>
      <c r="B93" s="48" t="s">
        <v>71</v>
      </c>
      <c r="C93" s="49">
        <f>+C91</f>
        <v>2028</v>
      </c>
      <c r="D93" s="49">
        <v>59</v>
      </c>
      <c r="E93" s="49">
        <f t="shared" si="9"/>
        <v>0.76210074418188734</v>
      </c>
      <c r="F93" s="49">
        <f t="shared" si="10"/>
        <v>0.7751778265055943</v>
      </c>
      <c r="G93" s="303"/>
      <c r="H93" s="49"/>
      <c r="I93" s="303"/>
      <c r="J93" s="49"/>
      <c r="K93" s="51"/>
      <c r="L93" s="51"/>
      <c r="M93" s="58">
        <f>IF(SUM(M$35:M92)=K$33,0,IF(SUM(L$35:L93)&lt;$W$10,L93,K$33-SUM(L$35:L92)))</f>
        <v>0</v>
      </c>
      <c r="N93" s="58">
        <f t="shared" si="7"/>
        <v>0</v>
      </c>
      <c r="O93" s="58">
        <f t="shared" si="11"/>
        <v>0</v>
      </c>
      <c r="P93" s="58">
        <f t="shared" si="12"/>
        <v>0</v>
      </c>
      <c r="Q93" s="58">
        <f t="shared" si="8"/>
        <v>0</v>
      </c>
      <c r="R93" s="58">
        <f t="shared" si="5"/>
        <v>0</v>
      </c>
      <c r="S93" s="57">
        <f t="shared" si="13"/>
        <v>0</v>
      </c>
      <c r="T93" s="57">
        <f>IF(SUM(L$35:L92)&lt;W$10,IF(SUM(L$35:L93)&lt;W$10,0,(SUM(L$35:L93)-W$10)),L93)</f>
        <v>0</v>
      </c>
      <c r="V93"/>
      <c r="W93"/>
      <c r="Y93"/>
      <c r="Z93"/>
      <c r="AA93"/>
      <c r="AB93"/>
      <c r="AC93"/>
      <c r="AD93"/>
      <c r="AE93"/>
      <c r="AF93"/>
      <c r="AG93"/>
    </row>
    <row r="94" spans="1:33" x14ac:dyDescent="0.3">
      <c r="A94" s="304"/>
      <c r="B94" s="48" t="s">
        <v>72</v>
      </c>
      <c r="C94" s="49">
        <f>+C91</f>
        <v>2028</v>
      </c>
      <c r="D94" s="49">
        <v>60</v>
      </c>
      <c r="E94" s="49">
        <f t="shared" si="9"/>
        <v>0.75667162527057108</v>
      </c>
      <c r="F94" s="49">
        <f t="shared" si="10"/>
        <v>0.7751778265055943</v>
      </c>
      <c r="G94" s="303"/>
      <c r="H94" s="49"/>
      <c r="I94" s="303"/>
      <c r="J94" s="49"/>
      <c r="K94" s="51"/>
      <c r="L94" s="51"/>
      <c r="M94" s="58">
        <f>IF(SUM(M$35:M93)=K$33,0,IF(SUM(L$35:L94)&lt;$W$10,L94,K$33-SUM(L$35:L93)))</f>
        <v>0</v>
      </c>
      <c r="N94" s="58">
        <f t="shared" si="7"/>
        <v>0</v>
      </c>
      <c r="O94" s="58">
        <f t="shared" si="11"/>
        <v>0</v>
      </c>
      <c r="P94" s="58">
        <f t="shared" si="12"/>
        <v>0</v>
      </c>
      <c r="Q94" s="58">
        <f t="shared" si="8"/>
        <v>0</v>
      </c>
      <c r="R94" s="58">
        <f t="shared" si="5"/>
        <v>0</v>
      </c>
      <c r="S94" s="57">
        <f t="shared" si="13"/>
        <v>0</v>
      </c>
      <c r="T94" s="57">
        <f>IF(SUM(L$35:L93)&lt;W$10,IF(SUM(L$35:L94)&lt;W$10,0,(SUM(L$35:L94)-W$10)),L94)</f>
        <v>0</v>
      </c>
      <c r="V94"/>
      <c r="W94"/>
      <c r="Y94"/>
      <c r="Z94"/>
      <c r="AA94"/>
      <c r="AB94"/>
      <c r="AC94"/>
      <c r="AD94"/>
      <c r="AE94"/>
      <c r="AF94"/>
      <c r="AG94"/>
    </row>
    <row r="95" spans="1:33" x14ac:dyDescent="0.3">
      <c r="A95" s="304">
        <v>2029</v>
      </c>
      <c r="B95" s="48" t="s">
        <v>69</v>
      </c>
      <c r="C95" s="49">
        <f>+A95</f>
        <v>2029</v>
      </c>
      <c r="D95" s="49">
        <v>61</v>
      </c>
      <c r="E95" s="49">
        <f t="shared" si="9"/>
        <v>0.75128118278409506</v>
      </c>
      <c r="F95" s="49">
        <f t="shared" si="10"/>
        <v>0.75355091523825635</v>
      </c>
      <c r="G95" s="303"/>
      <c r="H95" s="58">
        <f>+G95*F95</f>
        <v>0</v>
      </c>
      <c r="I95" s="303"/>
      <c r="J95" s="58">
        <f>+I95*F95</f>
        <v>0</v>
      </c>
      <c r="K95" s="51"/>
      <c r="L95" s="51"/>
      <c r="M95" s="58">
        <f>IF(SUM(M$35:M94)=K$33,0,IF(SUM(L$35:L95)&lt;$W$10,L95,K$33-SUM(L$35:L94)))</f>
        <v>0</v>
      </c>
      <c r="N95" s="58">
        <f t="shared" si="7"/>
        <v>0</v>
      </c>
      <c r="O95" s="58">
        <f t="shared" si="11"/>
        <v>0</v>
      </c>
      <c r="P95" s="58">
        <f t="shared" si="12"/>
        <v>0</v>
      </c>
      <c r="Q95" s="58">
        <f t="shared" si="8"/>
        <v>0</v>
      </c>
      <c r="R95" s="58">
        <f t="shared" si="5"/>
        <v>0</v>
      </c>
      <c r="S95" s="57">
        <f t="shared" si="13"/>
        <v>0</v>
      </c>
      <c r="T95" s="57">
        <f>IF(SUM(L$35:L94)&lt;W$10,IF(SUM(L$35:L95)&lt;W$10,0,(SUM(L$35:L95)-W$10)),L95)</f>
        <v>0</v>
      </c>
      <c r="V95">
        <f>SUM(T95:T98)</f>
        <v>0</v>
      </c>
      <c r="W95">
        <f>+V95*F95</f>
        <v>0</v>
      </c>
      <c r="Y95">
        <f>+X95*F95</f>
        <v>0</v>
      </c>
      <c r="Z95"/>
      <c r="AA95"/>
      <c r="AB95"/>
      <c r="AC95"/>
      <c r="AD95"/>
      <c r="AE95"/>
      <c r="AF95"/>
      <c r="AG95"/>
    </row>
    <row r="96" spans="1:33" x14ac:dyDescent="0.3">
      <c r="A96" s="304"/>
      <c r="B96" s="48" t="s">
        <v>70</v>
      </c>
      <c r="C96" s="49">
        <f>+C95</f>
        <v>2029</v>
      </c>
      <c r="D96" s="49">
        <v>62</v>
      </c>
      <c r="E96" s="49">
        <f t="shared" si="9"/>
        <v>0.74592914119601372</v>
      </c>
      <c r="F96" s="49">
        <f t="shared" si="10"/>
        <v>0.75355091523825635</v>
      </c>
      <c r="G96" s="303"/>
      <c r="H96" s="49"/>
      <c r="I96" s="303"/>
      <c r="J96" s="49"/>
      <c r="K96" s="51"/>
      <c r="L96" s="51"/>
      <c r="M96" s="58">
        <f>IF(SUM(M$35:M95)=K$33,0,IF(SUM(L$35:L96)&lt;$W$10,L96,K$33-SUM(L$35:L95)))</f>
        <v>0</v>
      </c>
      <c r="N96" s="58">
        <f t="shared" si="7"/>
        <v>0</v>
      </c>
      <c r="O96" s="58">
        <f t="shared" si="11"/>
        <v>0</v>
      </c>
      <c r="P96" s="58">
        <f t="shared" si="12"/>
        <v>0</v>
      </c>
      <c r="Q96" s="58">
        <f t="shared" si="8"/>
        <v>0</v>
      </c>
      <c r="R96" s="58">
        <f t="shared" si="5"/>
        <v>0</v>
      </c>
      <c r="S96" s="57">
        <f t="shared" si="13"/>
        <v>0</v>
      </c>
      <c r="T96" s="57">
        <f>IF(SUM(L$35:L95)&lt;W$10,IF(SUM(L$35:L96)&lt;W$10,0,(SUM(L$35:L96)-W$10)),L96)</f>
        <v>0</v>
      </c>
      <c r="V96"/>
      <c r="W96"/>
      <c r="Y96"/>
      <c r="Z96"/>
      <c r="AA96"/>
      <c r="AB96"/>
      <c r="AC96"/>
      <c r="AD96"/>
      <c r="AE96"/>
      <c r="AF96"/>
      <c r="AG96"/>
    </row>
    <row r="97" spans="1:33" x14ac:dyDescent="0.3">
      <c r="A97" s="304"/>
      <c r="B97" s="48" t="s">
        <v>71</v>
      </c>
      <c r="C97" s="49">
        <f>+C95</f>
        <v>2029</v>
      </c>
      <c r="D97" s="49">
        <v>63</v>
      </c>
      <c r="E97" s="49">
        <f t="shared" si="9"/>
        <v>0.74061522694269999</v>
      </c>
      <c r="F97" s="49">
        <f t="shared" si="10"/>
        <v>0.75355091523825635</v>
      </c>
      <c r="G97" s="303"/>
      <c r="H97" s="49"/>
      <c r="I97" s="303"/>
      <c r="J97" s="49"/>
      <c r="K97" s="51"/>
      <c r="L97" s="51"/>
      <c r="M97" s="58">
        <f>IF(SUM(M$35:M96)=K$33,0,IF(SUM(L$35:L97)&lt;$W$10,L97,K$33-SUM(L$35:L96)))</f>
        <v>0</v>
      </c>
      <c r="N97" s="58">
        <f t="shared" si="7"/>
        <v>0</v>
      </c>
      <c r="O97" s="58">
        <f t="shared" si="11"/>
        <v>0</v>
      </c>
      <c r="P97" s="58">
        <f t="shared" si="12"/>
        <v>0</v>
      </c>
      <c r="Q97" s="58">
        <f t="shared" si="8"/>
        <v>0</v>
      </c>
      <c r="R97" s="58">
        <f t="shared" si="5"/>
        <v>0</v>
      </c>
      <c r="S97" s="57">
        <f t="shared" si="13"/>
        <v>0</v>
      </c>
      <c r="T97" s="57">
        <f>IF(SUM(L$35:L96)&lt;W$10,IF(SUM(L$35:L97)&lt;W$10,0,(SUM(L$35:L97)-W$10)),L97)</f>
        <v>0</v>
      </c>
      <c r="V97"/>
      <c r="W97"/>
      <c r="Y97"/>
      <c r="Z97"/>
      <c r="AA97"/>
      <c r="AB97"/>
      <c r="AC97"/>
      <c r="AD97"/>
      <c r="AE97"/>
      <c r="AF97"/>
      <c r="AG97"/>
    </row>
    <row r="98" spans="1:33" x14ac:dyDescent="0.3">
      <c r="A98" s="304"/>
      <c r="B98" s="48" t="s">
        <v>72</v>
      </c>
      <c r="C98" s="49">
        <f>+C95</f>
        <v>2029</v>
      </c>
      <c r="D98" s="49">
        <v>64</v>
      </c>
      <c r="E98" s="49">
        <f t="shared" si="9"/>
        <v>0.73533916840936275</v>
      </c>
      <c r="F98" s="49">
        <f t="shared" si="10"/>
        <v>0.75355091523825635</v>
      </c>
      <c r="G98" s="303"/>
      <c r="H98" s="49"/>
      <c r="I98" s="303"/>
      <c r="J98" s="49"/>
      <c r="K98" s="51"/>
      <c r="L98" s="51"/>
      <c r="M98" s="58">
        <f>IF(SUM(M$35:M97)=K$33,0,IF(SUM(L$35:L98)&lt;$W$10,L98,K$33-SUM(L$35:L97)))</f>
        <v>0</v>
      </c>
      <c r="N98" s="58">
        <f t="shared" si="7"/>
        <v>0</v>
      </c>
      <c r="O98" s="58">
        <f t="shared" si="11"/>
        <v>0</v>
      </c>
      <c r="P98" s="58">
        <f t="shared" si="12"/>
        <v>0</v>
      </c>
      <c r="Q98" s="58">
        <f t="shared" si="8"/>
        <v>0</v>
      </c>
      <c r="R98" s="58">
        <f t="shared" si="5"/>
        <v>0</v>
      </c>
      <c r="S98" s="57">
        <f t="shared" si="13"/>
        <v>0</v>
      </c>
      <c r="T98" s="57">
        <f>IF(SUM(L$35:L97)&lt;W$10,IF(SUM(L$35:L98)&lt;W$10,0,(SUM(L$35:L98)-W$10)),L98)</f>
        <v>0</v>
      </c>
      <c r="V98"/>
      <c r="W98"/>
      <c r="Y98"/>
      <c r="Z98"/>
      <c r="AA98"/>
      <c r="AB98"/>
      <c r="AC98"/>
      <c r="AD98"/>
      <c r="AE98"/>
      <c r="AF98"/>
      <c r="AG98"/>
    </row>
    <row r="99" spans="1:33" x14ac:dyDescent="0.3">
      <c r="A99" s="304">
        <v>2030</v>
      </c>
      <c r="B99" s="48" t="s">
        <v>69</v>
      </c>
      <c r="C99" s="49">
        <f>+A99</f>
        <v>2030</v>
      </c>
      <c r="D99" s="49">
        <v>65</v>
      </c>
      <c r="E99" s="49">
        <f t="shared" ref="E99:E130" si="14">IF(D99&lt;$B$11,1,(1/(1+$K$17/4)^(D99-$B$11+1)))</f>
        <v>0.73010069591616422</v>
      </c>
      <c r="F99" s="49">
        <f t="shared" ref="F99:F130" si="15">IF(C99&lt;($B$9+1),1,(1/(1+$K$17)^(C99-$B$9)))</f>
        <v>0.73252737944809609</v>
      </c>
      <c r="G99" s="303"/>
      <c r="H99" s="58">
        <f>+G99*F99</f>
        <v>0</v>
      </c>
      <c r="I99" s="303"/>
      <c r="J99" s="58">
        <f>+I99*F99</f>
        <v>0</v>
      </c>
      <c r="K99" s="51"/>
      <c r="L99" s="51"/>
      <c r="M99" s="58">
        <f>IF(SUM(M$35:M98)=K$33,0,IF(SUM(L$35:L99)&lt;$W$10,L99,K$33-SUM(L$35:L98)))</f>
        <v>0</v>
      </c>
      <c r="N99" s="58">
        <f t="shared" si="7"/>
        <v>0</v>
      </c>
      <c r="O99" s="58">
        <f t="shared" ref="O99:O130" si="16">+N99*($K$21/4)</f>
        <v>0</v>
      </c>
      <c r="P99" s="58">
        <f t="shared" ref="P99:P130" si="17">+N99*($K$20/4)</f>
        <v>0</v>
      </c>
      <c r="Q99" s="58">
        <f t="shared" si="8"/>
        <v>0</v>
      </c>
      <c r="R99" s="58">
        <f t="shared" ref="R99:R122" si="18">+Q99*E99</f>
        <v>0</v>
      </c>
      <c r="S99" s="57">
        <f t="shared" ref="S99:S130" si="19">+L99-T99</f>
        <v>0</v>
      </c>
      <c r="T99" s="57">
        <f>IF(SUM(L$35:L98)&lt;W$10,IF(SUM(L$35:L99)&lt;W$10,0,(SUM(L$35:L99)-W$10)),L99)</f>
        <v>0</v>
      </c>
      <c r="V99">
        <f>SUM(T99:T102)</f>
        <v>0</v>
      </c>
      <c r="W99">
        <f>+V99*F99</f>
        <v>0</v>
      </c>
      <c r="Y99">
        <f>+X99*F99</f>
        <v>0</v>
      </c>
      <c r="Z99"/>
      <c r="AA99"/>
      <c r="AB99"/>
      <c r="AC99"/>
      <c r="AD99"/>
      <c r="AE99"/>
      <c r="AF99"/>
      <c r="AG99"/>
    </row>
    <row r="100" spans="1:33" x14ac:dyDescent="0.3">
      <c r="A100" s="304"/>
      <c r="B100" s="48" t="s">
        <v>70</v>
      </c>
      <c r="C100" s="49">
        <f>+C99</f>
        <v>2030</v>
      </c>
      <c r="D100" s="49">
        <v>66</v>
      </c>
      <c r="E100" s="49">
        <f t="shared" si="14"/>
        <v>0.72489954170443505</v>
      </c>
      <c r="F100" s="49">
        <f t="shared" si="15"/>
        <v>0.73252737944809609</v>
      </c>
      <c r="G100" s="303"/>
      <c r="H100" s="49"/>
      <c r="I100" s="303"/>
      <c r="J100" s="49"/>
      <c r="K100" s="51"/>
      <c r="L100" s="51"/>
      <c r="M100" s="58">
        <f>IF(SUM(M$35:M99)=K$33,0,IF(SUM(L$35:L100)&lt;$W$10,L100,K$33-SUM(L$35:L99)))</f>
        <v>0</v>
      </c>
      <c r="N100" s="58">
        <f t="shared" ref="N100:N122" si="20">+N99+K100-M99</f>
        <v>0</v>
      </c>
      <c r="O100" s="58">
        <f t="shared" si="16"/>
        <v>0</v>
      </c>
      <c r="P100" s="58">
        <f t="shared" si="17"/>
        <v>0</v>
      </c>
      <c r="Q100" s="58">
        <f t="shared" ref="Q100:Q122" si="21">+P100-O100</f>
        <v>0</v>
      </c>
      <c r="R100" s="58">
        <f t="shared" si="18"/>
        <v>0</v>
      </c>
      <c r="S100" s="57">
        <f t="shared" si="19"/>
        <v>0</v>
      </c>
      <c r="T100" s="57">
        <f>IF(SUM(L$35:L99)&lt;W$10,IF(SUM(L$35:L100)&lt;W$10,0,(SUM(L$35:L100)-W$10)),L100)</f>
        <v>0</v>
      </c>
      <c r="V100"/>
      <c r="W100"/>
      <c r="Y100"/>
      <c r="Z100"/>
      <c r="AA100"/>
      <c r="AB100"/>
      <c r="AC100"/>
      <c r="AD100"/>
      <c r="AE100"/>
      <c r="AF100"/>
      <c r="AG100"/>
    </row>
    <row r="101" spans="1:33" x14ac:dyDescent="0.3">
      <c r="A101" s="304"/>
      <c r="B101" s="48" t="s">
        <v>71</v>
      </c>
      <c r="C101" s="49">
        <f>+C99</f>
        <v>2030</v>
      </c>
      <c r="D101" s="49">
        <v>67</v>
      </c>
      <c r="E101" s="49">
        <f t="shared" si="14"/>
        <v>0.7197354399229875</v>
      </c>
      <c r="F101" s="49">
        <f t="shared" si="15"/>
        <v>0.73252737944809609</v>
      </c>
      <c r="G101" s="303"/>
      <c r="H101" s="49"/>
      <c r="I101" s="303"/>
      <c r="J101" s="49"/>
      <c r="K101" s="51"/>
      <c r="L101" s="51"/>
      <c r="M101" s="58">
        <f>IF(SUM(M$35:M100)=K$33,0,IF(SUM(L$35:L101)&lt;$W$10,L101,K$33-SUM(L$35:L100)))</f>
        <v>0</v>
      </c>
      <c r="N101" s="58">
        <f t="shared" si="20"/>
        <v>0</v>
      </c>
      <c r="O101" s="58">
        <f t="shared" si="16"/>
        <v>0</v>
      </c>
      <c r="P101" s="58">
        <f t="shared" si="17"/>
        <v>0</v>
      </c>
      <c r="Q101" s="58">
        <f t="shared" si="21"/>
        <v>0</v>
      </c>
      <c r="R101" s="58">
        <f t="shared" si="18"/>
        <v>0</v>
      </c>
      <c r="S101" s="57">
        <f t="shared" si="19"/>
        <v>0</v>
      </c>
      <c r="T101" s="57">
        <f>IF(SUM(L$35:L100)&lt;W$10,IF(SUM(L$35:L101)&lt;W$10,0,(SUM(L$35:L101)-W$10)),L101)</f>
        <v>0</v>
      </c>
      <c r="V101"/>
      <c r="W101"/>
      <c r="Y101"/>
      <c r="Z101"/>
      <c r="AA101"/>
      <c r="AB101"/>
      <c r="AC101"/>
      <c r="AD101"/>
      <c r="AE101"/>
      <c r="AF101"/>
      <c r="AG101"/>
    </row>
    <row r="102" spans="1:33" x14ac:dyDescent="0.3">
      <c r="A102" s="304"/>
      <c r="B102" s="48" t="s">
        <v>72</v>
      </c>
      <c r="C102" s="49">
        <f>+C99</f>
        <v>2030</v>
      </c>
      <c r="D102" s="49">
        <v>68</v>
      </c>
      <c r="E102" s="49">
        <f t="shared" si="14"/>
        <v>0.71460812661452855</v>
      </c>
      <c r="F102" s="49">
        <f t="shared" si="15"/>
        <v>0.73252737944809609</v>
      </c>
      <c r="G102" s="303"/>
      <c r="H102" s="49"/>
      <c r="I102" s="303"/>
      <c r="J102" s="49"/>
      <c r="K102" s="51"/>
      <c r="L102" s="51"/>
      <c r="M102" s="58">
        <f>IF(SUM(M$35:M101)=K$33,0,IF(SUM(L$35:L102)&lt;$W$10,L102,K$33-SUM(L$35:L101)))</f>
        <v>0</v>
      </c>
      <c r="N102" s="58">
        <f t="shared" si="20"/>
        <v>0</v>
      </c>
      <c r="O102" s="58">
        <f t="shared" si="16"/>
        <v>0</v>
      </c>
      <c r="P102" s="58">
        <f t="shared" si="17"/>
        <v>0</v>
      </c>
      <c r="Q102" s="58">
        <f t="shared" si="21"/>
        <v>0</v>
      </c>
      <c r="R102" s="58">
        <f t="shared" si="18"/>
        <v>0</v>
      </c>
      <c r="S102" s="57">
        <f t="shared" si="19"/>
        <v>0</v>
      </c>
      <c r="T102" s="57">
        <f>IF(SUM(L$35:L101)&lt;W$10,IF(SUM(L$35:L102)&lt;W$10,0,(SUM(L$35:L102)-W$10)),L102)</f>
        <v>0</v>
      </c>
      <c r="V102"/>
      <c r="W102"/>
      <c r="Y102"/>
      <c r="Z102"/>
      <c r="AA102"/>
      <c r="AB102"/>
      <c r="AC102"/>
      <c r="AD102"/>
      <c r="AE102"/>
      <c r="AF102"/>
      <c r="AG102"/>
    </row>
    <row r="103" spans="1:33" x14ac:dyDescent="0.3">
      <c r="A103" s="304">
        <v>2031</v>
      </c>
      <c r="B103" s="48" t="s">
        <v>69</v>
      </c>
      <c r="C103" s="49">
        <f>+A103</f>
        <v>2031</v>
      </c>
      <c r="D103" s="49">
        <v>69</v>
      </c>
      <c r="E103" s="49">
        <f t="shared" si="14"/>
        <v>0.70951733970216535</v>
      </c>
      <c r="F103" s="49">
        <f t="shared" si="15"/>
        <v>0.7120903853874756</v>
      </c>
      <c r="G103" s="303"/>
      <c r="H103" s="58">
        <f>+G103*F103</f>
        <v>0</v>
      </c>
      <c r="I103" s="303"/>
      <c r="J103" s="58">
        <f>+I103*F103</f>
        <v>0</v>
      </c>
      <c r="K103" s="51"/>
      <c r="L103" s="51"/>
      <c r="M103" s="58">
        <f>IF(SUM(M$35:M102)=K$33,0,IF(SUM(L$35:L103)&lt;$W$10,L103,K$33-SUM(L$35:L102)))</f>
        <v>0</v>
      </c>
      <c r="N103" s="58">
        <f t="shared" si="20"/>
        <v>0</v>
      </c>
      <c r="O103" s="58">
        <f t="shared" si="16"/>
        <v>0</v>
      </c>
      <c r="P103" s="58">
        <f t="shared" si="17"/>
        <v>0</v>
      </c>
      <c r="Q103" s="58">
        <f t="shared" si="21"/>
        <v>0</v>
      </c>
      <c r="R103" s="58">
        <f t="shared" si="18"/>
        <v>0</v>
      </c>
      <c r="S103" s="57">
        <f t="shared" si="19"/>
        <v>0</v>
      </c>
      <c r="T103" s="57">
        <f>IF(SUM(L$35:L102)&lt;W$10,IF(SUM(L$35:L103)&lt;W$10,0,(SUM(L$35:L103)-W$10)),L103)</f>
        <v>0</v>
      </c>
      <c r="V103">
        <f>SUM(T103:T106)</f>
        <v>0</v>
      </c>
      <c r="W103">
        <f>+V103*F103</f>
        <v>0</v>
      </c>
      <c r="Y103">
        <f>+X103*F103</f>
        <v>0</v>
      </c>
      <c r="Z103"/>
      <c r="AA103"/>
      <c r="AB103"/>
      <c r="AC103"/>
      <c r="AD103"/>
      <c r="AE103"/>
      <c r="AF103"/>
      <c r="AG103"/>
    </row>
    <row r="104" spans="1:33" x14ac:dyDescent="0.3">
      <c r="A104" s="304"/>
      <c r="B104" s="48" t="s">
        <v>70</v>
      </c>
      <c r="C104" s="49">
        <f>+C103</f>
        <v>2031</v>
      </c>
      <c r="D104" s="49">
        <v>70</v>
      </c>
      <c r="E104" s="49">
        <f t="shared" si="14"/>
        <v>0.70446281897601259</v>
      </c>
      <c r="F104" s="49">
        <f t="shared" si="15"/>
        <v>0.7120903853874756</v>
      </c>
      <c r="G104" s="303"/>
      <c r="H104" s="49"/>
      <c r="I104" s="303"/>
      <c r="J104" s="49"/>
      <c r="K104" s="51"/>
      <c r="L104" s="51"/>
      <c r="M104" s="58">
        <f>IF(SUM(M$35:M103)=K$33,0,IF(SUM(L$35:L104)&lt;$W$10,L104,K$33-SUM(L$35:L103)))</f>
        <v>0</v>
      </c>
      <c r="N104" s="58">
        <f t="shared" si="20"/>
        <v>0</v>
      </c>
      <c r="O104" s="58">
        <f t="shared" si="16"/>
        <v>0</v>
      </c>
      <c r="P104" s="58">
        <f t="shared" si="17"/>
        <v>0</v>
      </c>
      <c r="Q104" s="58">
        <f t="shared" si="21"/>
        <v>0</v>
      </c>
      <c r="R104" s="58">
        <f t="shared" si="18"/>
        <v>0</v>
      </c>
      <c r="S104" s="57">
        <f t="shared" si="19"/>
        <v>0</v>
      </c>
      <c r="T104" s="57">
        <f>IF(SUM(L$35:L103)&lt;W$10,IF(SUM(L$35:L104)&lt;W$10,0,(SUM(L$35:L104)-W$10)),L104)</f>
        <v>0</v>
      </c>
      <c r="V104"/>
      <c r="W104"/>
      <c r="Y104"/>
      <c r="Z104"/>
      <c r="AA104"/>
      <c r="AB104"/>
      <c r="AC104"/>
      <c r="AD104"/>
      <c r="AE104"/>
      <c r="AF104"/>
      <c r="AG104"/>
    </row>
    <row r="105" spans="1:33" x14ac:dyDescent="0.3">
      <c r="A105" s="304"/>
      <c r="B105" s="48" t="s">
        <v>71</v>
      </c>
      <c r="C105" s="49">
        <f>+C103</f>
        <v>2031</v>
      </c>
      <c r="D105" s="49">
        <v>71</v>
      </c>
      <c r="E105" s="49">
        <f t="shared" si="14"/>
        <v>0.69944430607988939</v>
      </c>
      <c r="F105" s="49">
        <f t="shared" si="15"/>
        <v>0.7120903853874756</v>
      </c>
      <c r="G105" s="303"/>
      <c r="H105" s="49"/>
      <c r="I105" s="303"/>
      <c r="J105" s="49"/>
      <c r="K105" s="51"/>
      <c r="L105" s="51"/>
      <c r="M105" s="58">
        <f>IF(SUM(M$35:M104)=K$33,0,IF(SUM(L$35:L105)&lt;$W$10,L105,K$33-SUM(L$35:L104)))</f>
        <v>0</v>
      </c>
      <c r="N105" s="58">
        <f t="shared" si="20"/>
        <v>0</v>
      </c>
      <c r="O105" s="58">
        <f t="shared" si="16"/>
        <v>0</v>
      </c>
      <c r="P105" s="58">
        <f t="shared" si="17"/>
        <v>0</v>
      </c>
      <c r="Q105" s="58">
        <f t="shared" si="21"/>
        <v>0</v>
      </c>
      <c r="R105" s="58">
        <f t="shared" si="18"/>
        <v>0</v>
      </c>
      <c r="S105" s="57">
        <f t="shared" si="19"/>
        <v>0</v>
      </c>
      <c r="T105" s="57">
        <f>IF(SUM(L$35:L104)&lt;W$10,IF(SUM(L$35:L105)&lt;W$10,0,(SUM(L$35:L105)-W$10)),L105)</f>
        <v>0</v>
      </c>
      <c r="V105"/>
      <c r="W105"/>
      <c r="Y105"/>
      <c r="Z105"/>
      <c r="AA105"/>
      <c r="AB105"/>
      <c r="AC105"/>
      <c r="AD105"/>
      <c r="AE105"/>
      <c r="AF105"/>
      <c r="AG105"/>
    </row>
    <row r="106" spans="1:33" x14ac:dyDescent="0.3">
      <c r="A106" s="304"/>
      <c r="B106" s="48" t="s">
        <v>72</v>
      </c>
      <c r="C106" s="49">
        <f>+C103</f>
        <v>2031</v>
      </c>
      <c r="D106" s="49">
        <v>72</v>
      </c>
      <c r="E106" s="49">
        <f t="shared" si="14"/>
        <v>0.69446154449811548</v>
      </c>
      <c r="F106" s="49">
        <f t="shared" si="15"/>
        <v>0.7120903853874756</v>
      </c>
      <c r="G106" s="303"/>
      <c r="H106" s="49"/>
      <c r="I106" s="303"/>
      <c r="J106" s="49"/>
      <c r="K106" s="51"/>
      <c r="L106" s="51"/>
      <c r="M106" s="58">
        <f>IF(SUM(M$35:M105)=K$33,0,IF(SUM(L$35:L106)&lt;$W$10,L106,K$33-SUM(L$35:L105)))</f>
        <v>0</v>
      </c>
      <c r="N106" s="58">
        <f t="shared" si="20"/>
        <v>0</v>
      </c>
      <c r="O106" s="58">
        <f t="shared" si="16"/>
        <v>0</v>
      </c>
      <c r="P106" s="58">
        <f t="shared" si="17"/>
        <v>0</v>
      </c>
      <c r="Q106" s="58">
        <f t="shared" si="21"/>
        <v>0</v>
      </c>
      <c r="R106" s="58">
        <f t="shared" si="18"/>
        <v>0</v>
      </c>
      <c r="S106" s="57">
        <f t="shared" si="19"/>
        <v>0</v>
      </c>
      <c r="T106" s="57">
        <f>IF(SUM(L$35:L105)&lt;W$10,IF(SUM(L$35:L106)&lt;W$10,0,(SUM(L$35:L106)-W$10)),L106)</f>
        <v>0</v>
      </c>
      <c r="V106"/>
      <c r="W106"/>
      <c r="Y106"/>
      <c r="Z106"/>
      <c r="AA106"/>
      <c r="AB106"/>
      <c r="AC106"/>
      <c r="AD106"/>
      <c r="AE106"/>
      <c r="AF106"/>
      <c r="AG106"/>
    </row>
    <row r="107" spans="1:33" x14ac:dyDescent="0.3">
      <c r="A107" s="304">
        <v>2032</v>
      </c>
      <c r="B107" s="48" t="s">
        <v>69</v>
      </c>
      <c r="C107" s="49">
        <f>+A107</f>
        <v>2032</v>
      </c>
      <c r="D107" s="49">
        <v>73</v>
      </c>
      <c r="E107" s="49">
        <f t="shared" si="14"/>
        <v>0.68951427954239874</v>
      </c>
      <c r="F107" s="49">
        <f t="shared" si="15"/>
        <v>0.69222356895837045</v>
      </c>
      <c r="G107" s="303"/>
      <c r="H107" s="58">
        <f>+G107*F107</f>
        <v>0</v>
      </c>
      <c r="I107" s="303"/>
      <c r="J107" s="58">
        <f>+I107*F107</f>
        <v>0</v>
      </c>
      <c r="K107" s="51"/>
      <c r="L107" s="51"/>
      <c r="M107" s="58">
        <f>IF(SUM(M$35:M106)=K$33,0,IF(SUM(L$35:L107)&lt;$W$10,L107,K$33-SUM(L$35:L106)))</f>
        <v>0</v>
      </c>
      <c r="N107" s="58">
        <f t="shared" si="20"/>
        <v>0</v>
      </c>
      <c r="O107" s="58">
        <f t="shared" si="16"/>
        <v>0</v>
      </c>
      <c r="P107" s="58">
        <f t="shared" si="17"/>
        <v>0</v>
      </c>
      <c r="Q107" s="58">
        <f t="shared" si="21"/>
        <v>0</v>
      </c>
      <c r="R107" s="58">
        <f t="shared" si="18"/>
        <v>0</v>
      </c>
      <c r="S107" s="57">
        <f t="shared" si="19"/>
        <v>0</v>
      </c>
      <c r="T107" s="57">
        <f>IF(SUM(L$35:L106)&lt;W$10,IF(SUM(L$35:L107)&lt;W$10,0,(SUM(L$35:L107)-W$10)),L107)</f>
        <v>0</v>
      </c>
      <c r="V107">
        <f>SUM(T107:T110)</f>
        <v>0</v>
      </c>
      <c r="W107">
        <f>+V107*F107</f>
        <v>0</v>
      </c>
      <c r="Y107">
        <f>+X107*F107</f>
        <v>0</v>
      </c>
      <c r="Z107"/>
      <c r="AA107"/>
      <c r="AB107"/>
      <c r="AC107"/>
      <c r="AD107"/>
      <c r="AE107"/>
      <c r="AF107"/>
      <c r="AG107"/>
    </row>
    <row r="108" spans="1:33" x14ac:dyDescent="0.3">
      <c r="A108" s="304"/>
      <c r="B108" s="48" t="s">
        <v>70</v>
      </c>
      <c r="C108" s="49">
        <f>+C107</f>
        <v>2032</v>
      </c>
      <c r="D108" s="49">
        <v>74</v>
      </c>
      <c r="E108" s="49">
        <f t="shared" si="14"/>
        <v>0.6846022583388176</v>
      </c>
      <c r="F108" s="49">
        <f t="shared" si="15"/>
        <v>0.69222356895837045</v>
      </c>
      <c r="G108" s="303"/>
      <c r="H108" s="49"/>
      <c r="I108" s="303"/>
      <c r="J108" s="49"/>
      <c r="K108" s="51"/>
      <c r="L108" s="51"/>
      <c r="M108" s="58">
        <f>IF(SUM(M$35:M107)=K$33,0,IF(SUM(L$35:L108)&lt;$W$10,L108,K$33-SUM(L$35:L107)))</f>
        <v>0</v>
      </c>
      <c r="N108" s="58">
        <f t="shared" si="20"/>
        <v>0</v>
      </c>
      <c r="O108" s="58">
        <f t="shared" si="16"/>
        <v>0</v>
      </c>
      <c r="P108" s="58">
        <f t="shared" si="17"/>
        <v>0</v>
      </c>
      <c r="Q108" s="58">
        <f t="shared" si="21"/>
        <v>0</v>
      </c>
      <c r="R108" s="58">
        <f t="shared" si="18"/>
        <v>0</v>
      </c>
      <c r="S108" s="57">
        <f t="shared" si="19"/>
        <v>0</v>
      </c>
      <c r="T108" s="57">
        <f>IF(SUM(L$35:L107)&lt;W$10,IF(SUM(L$35:L108)&lt;W$10,0,(SUM(L$35:L108)-W$10)),L108)</f>
        <v>0</v>
      </c>
      <c r="V108"/>
      <c r="W108"/>
      <c r="Y108"/>
      <c r="Z108"/>
      <c r="AA108"/>
      <c r="AB108"/>
      <c r="AC108"/>
      <c r="AD108"/>
      <c r="AE108"/>
      <c r="AF108"/>
      <c r="AG108"/>
    </row>
    <row r="109" spans="1:33" x14ac:dyDescent="0.3">
      <c r="A109" s="304"/>
      <c r="B109" s="48" t="s">
        <v>71</v>
      </c>
      <c r="C109" s="49">
        <f>+C107</f>
        <v>2032</v>
      </c>
      <c r="D109" s="49">
        <v>75</v>
      </c>
      <c r="E109" s="49">
        <f t="shared" si="14"/>
        <v>0.6797252298148958</v>
      </c>
      <c r="F109" s="49">
        <f t="shared" si="15"/>
        <v>0.69222356895837045</v>
      </c>
      <c r="G109" s="303"/>
      <c r="H109" s="49"/>
      <c r="I109" s="303"/>
      <c r="J109" s="49"/>
      <c r="K109" s="51"/>
      <c r="L109" s="51"/>
      <c r="M109" s="58">
        <f>IF(SUM(M$35:M108)=K$33,0,IF(SUM(L$35:L109)&lt;$W$10,L109,K$33-SUM(L$35:L108)))</f>
        <v>0</v>
      </c>
      <c r="N109" s="58">
        <f t="shared" si="20"/>
        <v>0</v>
      </c>
      <c r="O109" s="58">
        <f t="shared" si="16"/>
        <v>0</v>
      </c>
      <c r="P109" s="58">
        <f t="shared" si="17"/>
        <v>0</v>
      </c>
      <c r="Q109" s="58">
        <f t="shared" si="21"/>
        <v>0</v>
      </c>
      <c r="R109" s="58">
        <f t="shared" si="18"/>
        <v>0</v>
      </c>
      <c r="S109" s="57">
        <f t="shared" si="19"/>
        <v>0</v>
      </c>
      <c r="T109" s="57">
        <f>IF(SUM(L$35:L108)&lt;W$10,IF(SUM(L$35:L109)&lt;W$10,0,(SUM(L$35:L109)-W$10)),L109)</f>
        <v>0</v>
      </c>
      <c r="V109"/>
      <c r="W109"/>
      <c r="Y109"/>
      <c r="Z109"/>
      <c r="AA109"/>
      <c r="AB109"/>
      <c r="AC109"/>
      <c r="AD109"/>
      <c r="AE109"/>
      <c r="AF109"/>
      <c r="AG109"/>
    </row>
    <row r="110" spans="1:33" x14ac:dyDescent="0.3">
      <c r="A110" s="304"/>
      <c r="B110" s="48" t="s">
        <v>72</v>
      </c>
      <c r="C110" s="49">
        <f>+C107</f>
        <v>2032</v>
      </c>
      <c r="D110" s="49">
        <v>76</v>
      </c>
      <c r="E110" s="49">
        <f t="shared" si="14"/>
        <v>0.67488294468676824</v>
      </c>
      <c r="F110" s="49">
        <f t="shared" si="15"/>
        <v>0.69222356895837045</v>
      </c>
      <c r="G110" s="303"/>
      <c r="H110" s="49"/>
      <c r="I110" s="303"/>
      <c r="J110" s="49"/>
      <c r="K110" s="51"/>
      <c r="L110" s="51"/>
      <c r="M110" s="58">
        <f>IF(SUM(M$35:M109)=K$33,0,IF(SUM(L$35:L110)&lt;$W$10,L110,K$33-SUM(L$35:L109)))</f>
        <v>0</v>
      </c>
      <c r="N110" s="58">
        <f t="shared" si="20"/>
        <v>0</v>
      </c>
      <c r="O110" s="58">
        <f t="shared" si="16"/>
        <v>0</v>
      </c>
      <c r="P110" s="58">
        <f t="shared" si="17"/>
        <v>0</v>
      </c>
      <c r="Q110" s="58">
        <f t="shared" si="21"/>
        <v>0</v>
      </c>
      <c r="R110" s="58">
        <f t="shared" si="18"/>
        <v>0</v>
      </c>
      <c r="S110" s="57">
        <f t="shared" si="19"/>
        <v>0</v>
      </c>
      <c r="T110" s="57">
        <f>IF(SUM(L$35:L109)&lt;W$10,IF(SUM(L$35:L110)&lt;W$10,0,(SUM(L$35:L110)-W$10)),L110)</f>
        <v>0</v>
      </c>
      <c r="V110"/>
      <c r="W110"/>
      <c r="Y110"/>
      <c r="Z110"/>
      <c r="AA110"/>
      <c r="AB110"/>
      <c r="AC110"/>
      <c r="AD110"/>
      <c r="AE110"/>
      <c r="AF110"/>
      <c r="AG110"/>
    </row>
    <row r="111" spans="1:33" x14ac:dyDescent="0.3">
      <c r="A111" s="304">
        <v>2033</v>
      </c>
      <c r="B111" s="48" t="s">
        <v>69</v>
      </c>
      <c r="C111" s="49">
        <f>+A111</f>
        <v>2033</v>
      </c>
      <c r="D111" s="49">
        <v>77</v>
      </c>
      <c r="E111" s="49">
        <f t="shared" si="14"/>
        <v>0.67007515544644014</v>
      </c>
      <c r="F111" s="49">
        <f t="shared" si="15"/>
        <v>0.67291102260947833</v>
      </c>
      <c r="G111" s="303"/>
      <c r="H111" s="58">
        <f>+G111*F111</f>
        <v>0</v>
      </c>
      <c r="I111" s="303"/>
      <c r="J111" s="58">
        <f>+I111*F111</f>
        <v>0</v>
      </c>
      <c r="K111" s="51"/>
      <c r="L111" s="51"/>
      <c r="M111" s="58">
        <f>IF(SUM(M$35:M110)=K$33,0,IF(SUM(L$35:L111)&lt;$W$10,L111,K$33-SUM(L$35:L110)))</f>
        <v>0</v>
      </c>
      <c r="N111" s="58">
        <f t="shared" si="20"/>
        <v>0</v>
      </c>
      <c r="O111" s="58">
        <f t="shared" si="16"/>
        <v>0</v>
      </c>
      <c r="P111" s="58">
        <f t="shared" si="17"/>
        <v>0</v>
      </c>
      <c r="Q111" s="58">
        <f t="shared" si="21"/>
        <v>0</v>
      </c>
      <c r="R111" s="58">
        <f t="shared" si="18"/>
        <v>0</v>
      </c>
      <c r="S111" s="57">
        <f t="shared" si="19"/>
        <v>0</v>
      </c>
      <c r="T111" s="57">
        <f>IF(SUM(L$35:L110)&lt;W$10,IF(SUM(L$35:L111)&lt;W$10,0,(SUM(L$35:L111)-W$10)),L111)</f>
        <v>0</v>
      </c>
      <c r="V111">
        <f>SUM(T111:T114)</f>
        <v>0</v>
      </c>
      <c r="W111">
        <f>+V111*F111</f>
        <v>0</v>
      </c>
      <c r="Y111">
        <f>+X111*F111</f>
        <v>0</v>
      </c>
      <c r="Z111"/>
      <c r="AA111"/>
      <c r="AB111"/>
      <c r="AC111"/>
      <c r="AD111"/>
      <c r="AE111"/>
      <c r="AF111"/>
      <c r="AG111"/>
    </row>
    <row r="112" spans="1:33" x14ac:dyDescent="0.3">
      <c r="A112" s="304"/>
      <c r="B112" s="48" t="s">
        <v>70</v>
      </c>
      <c r="C112" s="49">
        <f>+C111</f>
        <v>2033</v>
      </c>
      <c r="D112" s="49">
        <v>78</v>
      </c>
      <c r="E112" s="49">
        <f t="shared" si="14"/>
        <v>0.66530161634913521</v>
      </c>
      <c r="F112" s="49">
        <f t="shared" si="15"/>
        <v>0.67291102260947833</v>
      </c>
      <c r="G112" s="303"/>
      <c r="H112" s="49"/>
      <c r="I112" s="303"/>
      <c r="J112" s="49"/>
      <c r="K112" s="51"/>
      <c r="L112" s="51"/>
      <c r="M112" s="58">
        <f>IF(SUM(M$35:M111)=K$33,0,IF(SUM(L$35:L112)&lt;$W$10,L112,K$33-SUM(L$35:L111)))</f>
        <v>0</v>
      </c>
      <c r="N112" s="58">
        <f t="shared" si="20"/>
        <v>0</v>
      </c>
      <c r="O112" s="58">
        <f t="shared" si="16"/>
        <v>0</v>
      </c>
      <c r="P112" s="58">
        <f t="shared" si="17"/>
        <v>0</v>
      </c>
      <c r="Q112" s="58">
        <f t="shared" si="21"/>
        <v>0</v>
      </c>
      <c r="R112" s="58">
        <f t="shared" si="18"/>
        <v>0</v>
      </c>
      <c r="S112" s="57">
        <f t="shared" si="19"/>
        <v>0</v>
      </c>
      <c r="T112" s="57">
        <f>IF(SUM(L$35:L111)&lt;W$10,IF(SUM(L$35:L112)&lt;W$10,0,(SUM(L$35:L112)-W$10)),L112)</f>
        <v>0</v>
      </c>
      <c r="V112"/>
      <c r="W112"/>
      <c r="Y112"/>
      <c r="Z112"/>
      <c r="AA112"/>
      <c r="AB112"/>
      <c r="AC112"/>
      <c r="AD112"/>
      <c r="AE112"/>
      <c r="AF112"/>
      <c r="AG112"/>
    </row>
    <row r="113" spans="1:33" x14ac:dyDescent="0.3">
      <c r="A113" s="304"/>
      <c r="B113" s="48" t="s">
        <v>71</v>
      </c>
      <c r="C113" s="49">
        <f>+C111</f>
        <v>2033</v>
      </c>
      <c r="D113" s="49">
        <v>79</v>
      </c>
      <c r="E113" s="49">
        <f t="shared" si="14"/>
        <v>0.66056208340073497</v>
      </c>
      <c r="F113" s="49">
        <f t="shared" si="15"/>
        <v>0.67291102260947833</v>
      </c>
      <c r="G113" s="303"/>
      <c r="H113" s="49"/>
      <c r="I113" s="303"/>
      <c r="J113" s="49"/>
      <c r="K113" s="51"/>
      <c r="L113" s="51"/>
      <c r="M113" s="58">
        <f>IF(SUM(M$35:M112)=K$33,0,IF(SUM(L$35:L113)&lt;$W$10,L113,K$33-SUM(L$35:L112)))</f>
        <v>0</v>
      </c>
      <c r="N113" s="58">
        <f t="shared" si="20"/>
        <v>0</v>
      </c>
      <c r="O113" s="58">
        <f t="shared" si="16"/>
        <v>0</v>
      </c>
      <c r="P113" s="58">
        <f t="shared" si="17"/>
        <v>0</v>
      </c>
      <c r="Q113" s="58">
        <f t="shared" si="21"/>
        <v>0</v>
      </c>
      <c r="R113" s="58">
        <f t="shared" si="18"/>
        <v>0</v>
      </c>
      <c r="S113" s="57">
        <f t="shared" si="19"/>
        <v>0</v>
      </c>
      <c r="T113" s="57">
        <f>IF(SUM(L$35:L112)&lt;W$10,IF(SUM(L$35:L113)&lt;W$10,0,(SUM(L$35:L113)-W$10)),L113)</f>
        <v>0</v>
      </c>
      <c r="V113"/>
      <c r="W113"/>
      <c r="Y113"/>
      <c r="Z113"/>
      <c r="AA113"/>
      <c r="AB113"/>
      <c r="AC113"/>
      <c r="AD113"/>
      <c r="AE113"/>
      <c r="AF113"/>
      <c r="AG113"/>
    </row>
    <row r="114" spans="1:33" x14ac:dyDescent="0.3">
      <c r="A114" s="304"/>
      <c r="B114" s="48" t="s">
        <v>72</v>
      </c>
      <c r="C114" s="49">
        <f>+C111</f>
        <v>2033</v>
      </c>
      <c r="D114" s="49">
        <v>80</v>
      </c>
      <c r="E114" s="49">
        <f t="shared" si="14"/>
        <v>0.65585631434530733</v>
      </c>
      <c r="F114" s="49">
        <f t="shared" si="15"/>
        <v>0.67291102260947833</v>
      </c>
      <c r="G114" s="303"/>
      <c r="H114" s="49"/>
      <c r="I114" s="303"/>
      <c r="J114" s="49"/>
      <c r="K114" s="51"/>
      <c r="L114" s="51"/>
      <c r="M114" s="58">
        <f>IF(SUM(M$35:M113)=K$33,0,IF(SUM(L$35:L114)&lt;$W$10,L114,K$33-SUM(L$35:L113)))</f>
        <v>0</v>
      </c>
      <c r="N114" s="58">
        <f t="shared" si="20"/>
        <v>0</v>
      </c>
      <c r="O114" s="58">
        <f t="shared" si="16"/>
        <v>0</v>
      </c>
      <c r="P114" s="58">
        <f t="shared" si="17"/>
        <v>0</v>
      </c>
      <c r="Q114" s="58">
        <f t="shared" si="21"/>
        <v>0</v>
      </c>
      <c r="R114" s="58">
        <f t="shared" si="18"/>
        <v>0</v>
      </c>
      <c r="S114" s="57">
        <f t="shared" si="19"/>
        <v>0</v>
      </c>
      <c r="T114" s="57">
        <f>IF(SUM(L$35:L113)&lt;W$10,IF(SUM(L$35:L114)&lt;W$10,0,(SUM(L$35:L114)-W$10)),L114)</f>
        <v>0</v>
      </c>
      <c r="V114"/>
      <c r="W114"/>
      <c r="Y114"/>
      <c r="Z114"/>
      <c r="AA114"/>
      <c r="AB114"/>
      <c r="AC114"/>
      <c r="AD114"/>
      <c r="AE114"/>
      <c r="AF114"/>
      <c r="AG114"/>
    </row>
    <row r="115" spans="1:33" x14ac:dyDescent="0.3">
      <c r="A115" s="304">
        <v>2034</v>
      </c>
      <c r="B115" s="48" t="s">
        <v>69</v>
      </c>
      <c r="C115" s="49">
        <f>+A115</f>
        <v>2034</v>
      </c>
      <c r="D115" s="49">
        <v>81</v>
      </c>
      <c r="E115" s="49">
        <f t="shared" si="14"/>
        <v>0.65118406865272394</v>
      </c>
      <c r="F115" s="49">
        <f t="shared" si="15"/>
        <v>0.65413728259889026</v>
      </c>
      <c r="G115" s="303"/>
      <c r="H115" s="58">
        <f>+G115*F115</f>
        <v>0</v>
      </c>
      <c r="I115" s="303"/>
      <c r="J115" s="58">
        <f>+I115*F115</f>
        <v>0</v>
      </c>
      <c r="K115" s="51"/>
      <c r="L115" s="51"/>
      <c r="M115" s="58">
        <f>IF(SUM(M$35:M114)=K$33,0,IF(SUM(L$35:L115)&lt;$W$10,L115,K$33-SUM(L$35:L114)))</f>
        <v>0</v>
      </c>
      <c r="N115" s="58">
        <f t="shared" si="20"/>
        <v>0</v>
      </c>
      <c r="O115" s="58">
        <f t="shared" si="16"/>
        <v>0</v>
      </c>
      <c r="P115" s="58">
        <f t="shared" si="17"/>
        <v>0</v>
      </c>
      <c r="Q115" s="58">
        <f t="shared" si="21"/>
        <v>0</v>
      </c>
      <c r="R115" s="58">
        <f t="shared" si="18"/>
        <v>0</v>
      </c>
      <c r="S115" s="57">
        <f t="shared" si="19"/>
        <v>0</v>
      </c>
      <c r="T115" s="57">
        <f>IF(SUM(L$35:L114)&lt;W$10,IF(SUM(L$35:L115)&lt;W$10,0,(SUM(L$35:L115)-W$10)),L115)</f>
        <v>0</v>
      </c>
      <c r="V115">
        <f>SUM(T115:T118)</f>
        <v>0</v>
      </c>
      <c r="W115">
        <f>+V115*F115</f>
        <v>0</v>
      </c>
      <c r="Y115">
        <f>+X115*F115</f>
        <v>0</v>
      </c>
      <c r="Z115"/>
      <c r="AA115"/>
      <c r="AB115"/>
      <c r="AC115"/>
      <c r="AD115"/>
      <c r="AE115"/>
      <c r="AF115"/>
      <c r="AG115"/>
    </row>
    <row r="116" spans="1:33" x14ac:dyDescent="0.3">
      <c r="A116" s="304"/>
      <c r="B116" s="48" t="s">
        <v>70</v>
      </c>
      <c r="C116" s="49">
        <f>+C115</f>
        <v>2034</v>
      </c>
      <c r="D116" s="49">
        <v>82</v>
      </c>
      <c r="E116" s="49">
        <f t="shared" si="14"/>
        <v>0.64654510750636585</v>
      </c>
      <c r="F116" s="49">
        <f t="shared" si="15"/>
        <v>0.65413728259889026</v>
      </c>
      <c r="G116" s="303"/>
      <c r="H116" s="49"/>
      <c r="I116" s="303"/>
      <c r="J116" s="49"/>
      <c r="K116" s="51"/>
      <c r="L116" s="51"/>
      <c r="M116" s="58">
        <f>IF(SUM(M$35:M115)=K$33,0,IF(SUM(L$35:L116)&lt;$W$10,L116,K$33-SUM(L$35:L115)))</f>
        <v>0</v>
      </c>
      <c r="N116" s="58">
        <f t="shared" si="20"/>
        <v>0</v>
      </c>
      <c r="O116" s="58">
        <f t="shared" si="16"/>
        <v>0</v>
      </c>
      <c r="P116" s="58">
        <f t="shared" si="17"/>
        <v>0</v>
      </c>
      <c r="Q116" s="58">
        <f t="shared" si="21"/>
        <v>0</v>
      </c>
      <c r="R116" s="58">
        <f t="shared" si="18"/>
        <v>0</v>
      </c>
      <c r="S116" s="57">
        <f t="shared" si="19"/>
        <v>0</v>
      </c>
      <c r="T116" s="57">
        <f>IF(SUM(L$35:L115)&lt;W$10,IF(SUM(L$35:L116)&lt;W$10,0,(SUM(L$35:L116)-W$10)),L116)</f>
        <v>0</v>
      </c>
      <c r="V116"/>
      <c r="W116"/>
      <c r="Y116"/>
      <c r="Z116"/>
      <c r="AA116"/>
      <c r="AB116"/>
      <c r="AC116"/>
      <c r="AD116"/>
      <c r="AE116"/>
      <c r="AF116"/>
      <c r="AG116"/>
    </row>
    <row r="117" spans="1:33" x14ac:dyDescent="0.3">
      <c r="A117" s="304"/>
      <c r="B117" s="48" t="s">
        <v>71</v>
      </c>
      <c r="C117" s="49">
        <f>+C115</f>
        <v>2034</v>
      </c>
      <c r="D117" s="49">
        <v>83</v>
      </c>
      <c r="E117" s="49">
        <f t="shared" si="14"/>
        <v>0.64193919379091602</v>
      </c>
      <c r="F117" s="49">
        <f t="shared" si="15"/>
        <v>0.65413728259889026</v>
      </c>
      <c r="G117" s="303"/>
      <c r="H117" s="49"/>
      <c r="I117" s="303"/>
      <c r="J117" s="49"/>
      <c r="K117" s="51"/>
      <c r="L117" s="51"/>
      <c r="M117" s="58">
        <f>IF(SUM(M$35:M116)=K$33,0,IF(SUM(L$35:L117)&lt;$W$10,L117,K$33-SUM(L$35:L116)))</f>
        <v>0</v>
      </c>
      <c r="N117" s="58">
        <f t="shared" si="20"/>
        <v>0</v>
      </c>
      <c r="O117" s="58">
        <f t="shared" si="16"/>
        <v>0</v>
      </c>
      <c r="P117" s="58">
        <f t="shared" si="17"/>
        <v>0</v>
      </c>
      <c r="Q117" s="58">
        <f t="shared" si="21"/>
        <v>0</v>
      </c>
      <c r="R117" s="58">
        <f t="shared" si="18"/>
        <v>0</v>
      </c>
      <c r="S117" s="57">
        <f t="shared" si="19"/>
        <v>0</v>
      </c>
      <c r="T117" s="57">
        <f>IF(SUM(L$35:L116)&lt;W$10,IF(SUM(L$35:L117)&lt;W$10,0,(SUM(L$35:L117)-W$10)),L117)</f>
        <v>0</v>
      </c>
      <c r="V117"/>
      <c r="W117"/>
      <c r="Y117"/>
      <c r="Z117"/>
      <c r="AA117"/>
      <c r="AB117"/>
      <c r="AC117"/>
      <c r="AD117"/>
      <c r="AE117"/>
      <c r="AF117"/>
      <c r="AG117"/>
    </row>
    <row r="118" spans="1:33" x14ac:dyDescent="0.3">
      <c r="A118" s="304"/>
      <c r="B118" s="48" t="s">
        <v>72</v>
      </c>
      <c r="C118" s="49">
        <f>+C115</f>
        <v>2034</v>
      </c>
      <c r="D118" s="49">
        <v>84</v>
      </c>
      <c r="E118" s="49">
        <f t="shared" si="14"/>
        <v>0.63736609208024042</v>
      </c>
      <c r="F118" s="49">
        <f t="shared" si="15"/>
        <v>0.65413728259889026</v>
      </c>
      <c r="G118" s="303"/>
      <c r="H118" s="49"/>
      <c r="I118" s="303"/>
      <c r="J118" s="49"/>
      <c r="K118" s="51"/>
      <c r="L118" s="51"/>
      <c r="M118" s="58">
        <f>IF(SUM(M$35:M117)=K$33,0,IF(SUM(L$35:L118)&lt;$W$10,L118,K$33-SUM(L$35:L117)))</f>
        <v>0</v>
      </c>
      <c r="N118" s="58">
        <f t="shared" si="20"/>
        <v>0</v>
      </c>
      <c r="O118" s="58">
        <f t="shared" si="16"/>
        <v>0</v>
      </c>
      <c r="P118" s="58">
        <f t="shared" si="17"/>
        <v>0</v>
      </c>
      <c r="Q118" s="58">
        <f t="shared" si="21"/>
        <v>0</v>
      </c>
      <c r="R118" s="58">
        <f t="shared" si="18"/>
        <v>0</v>
      </c>
      <c r="S118" s="57">
        <f t="shared" si="19"/>
        <v>0</v>
      </c>
      <c r="T118" s="57">
        <f>IF(SUM(L$35:L117)&lt;W$10,IF(SUM(L$35:L118)&lt;W$10,0,(SUM(L$35:L118)-W$10)),L118)</f>
        <v>0</v>
      </c>
      <c r="V118"/>
      <c r="W118"/>
      <c r="Y118"/>
      <c r="Z118"/>
      <c r="AA118"/>
      <c r="AB118"/>
      <c r="AC118"/>
      <c r="AD118"/>
      <c r="AE118"/>
      <c r="AF118"/>
      <c r="AG118"/>
    </row>
    <row r="119" spans="1:33" x14ac:dyDescent="0.3">
      <c r="A119" s="304">
        <v>2035</v>
      </c>
      <c r="B119" s="48" t="s">
        <v>69</v>
      </c>
      <c r="C119" s="49">
        <f>+A119</f>
        <v>2035</v>
      </c>
      <c r="D119" s="49">
        <v>85</v>
      </c>
      <c r="E119" s="49">
        <f t="shared" si="14"/>
        <v>0.63282556862535355</v>
      </c>
      <c r="F119" s="49">
        <f t="shared" si="15"/>
        <v>0.63588731661212228</v>
      </c>
      <c r="G119" s="303"/>
      <c r="H119" s="58">
        <f>+G119*F119</f>
        <v>0</v>
      </c>
      <c r="I119" s="303"/>
      <c r="J119" s="58">
        <f>+I119*F119</f>
        <v>0</v>
      </c>
      <c r="K119" s="51"/>
      <c r="L119" s="51"/>
      <c r="M119" s="58">
        <f>IF(SUM(M$35:M118)=K$33,0,IF(SUM(L$35:L119)&lt;$W$10,L119,K$33-SUM(L$35:L118)))</f>
        <v>0</v>
      </c>
      <c r="N119" s="58">
        <f t="shared" si="20"/>
        <v>0</v>
      </c>
      <c r="O119" s="58">
        <f t="shared" si="16"/>
        <v>0</v>
      </c>
      <c r="P119" s="58">
        <f t="shared" si="17"/>
        <v>0</v>
      </c>
      <c r="Q119" s="58">
        <f t="shared" si="21"/>
        <v>0</v>
      </c>
      <c r="R119" s="58">
        <f t="shared" si="18"/>
        <v>0</v>
      </c>
      <c r="S119" s="57">
        <f t="shared" si="19"/>
        <v>0</v>
      </c>
      <c r="T119" s="57">
        <f>IF(SUM(L$35:L118)&lt;W$10,IF(SUM(L$35:L119)&lt;W$10,0,(SUM(L$35:L119)-W$10)),L119)</f>
        <v>0</v>
      </c>
      <c r="V119">
        <f>SUM(T119:T122)</f>
        <v>0</v>
      </c>
      <c r="W119">
        <f>+V119*F119</f>
        <v>0</v>
      </c>
      <c r="Y119">
        <f>+X119*F119</f>
        <v>0</v>
      </c>
      <c r="Z119"/>
      <c r="AA119"/>
      <c r="AB119"/>
      <c r="AC119"/>
      <c r="AD119"/>
      <c r="AE119"/>
      <c r="AF119"/>
      <c r="AG119"/>
    </row>
    <row r="120" spans="1:33" x14ac:dyDescent="0.3">
      <c r="A120" s="304"/>
      <c r="B120" s="48" t="s">
        <v>70</v>
      </c>
      <c r="C120" s="49">
        <f>+C119</f>
        <v>2035</v>
      </c>
      <c r="D120" s="49">
        <v>86</v>
      </c>
      <c r="E120" s="49">
        <f t="shared" si="14"/>
        <v>0.62831739134247122</v>
      </c>
      <c r="F120" s="49">
        <f t="shared" si="15"/>
        <v>0.63588731661212228</v>
      </c>
      <c r="G120" s="303"/>
      <c r="H120" s="49"/>
      <c r="I120" s="303"/>
      <c r="J120" s="49"/>
      <c r="K120" s="51"/>
      <c r="L120" s="51"/>
      <c r="M120" s="58">
        <f>IF(SUM(M$35:M119)=K$33,0,IF(SUM(L$35:L120)&lt;$W$10,L120,K$33-SUM(L$35:L119)))</f>
        <v>0</v>
      </c>
      <c r="N120" s="58">
        <f t="shared" si="20"/>
        <v>0</v>
      </c>
      <c r="O120" s="58">
        <f t="shared" si="16"/>
        <v>0</v>
      </c>
      <c r="P120" s="58">
        <f t="shared" si="17"/>
        <v>0</v>
      </c>
      <c r="Q120" s="58">
        <f t="shared" si="21"/>
        <v>0</v>
      </c>
      <c r="R120" s="58">
        <f t="shared" si="18"/>
        <v>0</v>
      </c>
      <c r="S120" s="57">
        <f t="shared" si="19"/>
        <v>0</v>
      </c>
      <c r="T120" s="57">
        <f>IF(SUM(L$35:L119)&lt;W$10,IF(SUM(L$35:L120)&lt;W$10,0,(SUM(L$35:L120)-W$10)),L120)</f>
        <v>0</v>
      </c>
      <c r="V120"/>
      <c r="W120"/>
      <c r="Y120"/>
      <c r="Z120"/>
      <c r="AA120"/>
      <c r="AB120"/>
      <c r="AC120"/>
      <c r="AD120"/>
      <c r="AE120"/>
      <c r="AF120"/>
      <c r="AG120"/>
    </row>
    <row r="121" spans="1:33" x14ac:dyDescent="0.3">
      <c r="A121" s="304"/>
      <c r="B121" s="48" t="s">
        <v>71</v>
      </c>
      <c r="C121" s="49">
        <f>+C119</f>
        <v>2035</v>
      </c>
      <c r="D121" s="49">
        <v>87</v>
      </c>
      <c r="E121" s="49">
        <f t="shared" si="14"/>
        <v>0.62384132980114815</v>
      </c>
      <c r="F121" s="49">
        <f t="shared" si="15"/>
        <v>0.63588731661212228</v>
      </c>
      <c r="G121" s="303"/>
      <c r="H121" s="49"/>
      <c r="I121" s="303"/>
      <c r="J121" s="49"/>
      <c r="K121" s="51"/>
      <c r="L121" s="51"/>
      <c r="M121" s="58">
        <f>IF(SUM(M$35:M120)=K$33,0,IF(SUM(L$35:L121)&lt;$W$10,L121,K$33-SUM(L$35:L120)))</f>
        <v>0</v>
      </c>
      <c r="N121" s="58">
        <f t="shared" si="20"/>
        <v>0</v>
      </c>
      <c r="O121" s="58">
        <f t="shared" si="16"/>
        <v>0</v>
      </c>
      <c r="P121" s="58">
        <f t="shared" si="17"/>
        <v>0</v>
      </c>
      <c r="Q121" s="58">
        <f t="shared" si="21"/>
        <v>0</v>
      </c>
      <c r="R121" s="58">
        <f t="shared" si="18"/>
        <v>0</v>
      </c>
      <c r="S121" s="57">
        <f t="shared" si="19"/>
        <v>0</v>
      </c>
      <c r="T121" s="57">
        <f>IF(SUM(L$35:L120)&lt;W$10,IF(SUM(L$35:L121)&lt;W$10,0,(SUM(L$35:L121)-W$10)),L121)</f>
        <v>0</v>
      </c>
      <c r="V121"/>
      <c r="W121"/>
      <c r="Y121"/>
      <c r="Z121"/>
      <c r="AA121"/>
      <c r="AB121"/>
      <c r="AC121"/>
      <c r="AD121"/>
      <c r="AE121"/>
      <c r="AF121"/>
      <c r="AG121"/>
    </row>
    <row r="122" spans="1:33" x14ac:dyDescent="0.3">
      <c r="A122" s="304"/>
      <c r="B122" s="48" t="s">
        <v>72</v>
      </c>
      <c r="C122" s="49">
        <f>+C119</f>
        <v>2035</v>
      </c>
      <c r="D122" s="49">
        <v>88</v>
      </c>
      <c r="E122" s="49">
        <f t="shared" si="14"/>
        <v>0.6193971552124985</v>
      </c>
      <c r="F122" s="49">
        <f t="shared" si="15"/>
        <v>0.63588731661212228</v>
      </c>
      <c r="G122" s="303"/>
      <c r="H122" s="49"/>
      <c r="I122" s="303"/>
      <c r="J122" s="49"/>
      <c r="K122" s="51"/>
      <c r="L122" s="51"/>
      <c r="M122" s="58">
        <f>IF(SUM(M$35:M121)=K$33,0,IF(SUM(L$35:L122)&lt;$W$10,L122,K$33-SUM(L$35:L121)))</f>
        <v>0</v>
      </c>
      <c r="N122" s="58">
        <f t="shared" si="20"/>
        <v>0</v>
      </c>
      <c r="O122" s="58">
        <f t="shared" si="16"/>
        <v>0</v>
      </c>
      <c r="P122" s="58">
        <f t="shared" si="17"/>
        <v>0</v>
      </c>
      <c r="Q122" s="58">
        <f t="shared" si="21"/>
        <v>0</v>
      </c>
      <c r="R122" s="58">
        <f t="shared" si="18"/>
        <v>0</v>
      </c>
      <c r="S122" s="57">
        <f t="shared" si="19"/>
        <v>0</v>
      </c>
      <c r="T122" s="57">
        <f>IF(SUM(L$35:L121)&lt;W$10,IF(SUM(L$35:L122)&lt;W$10,0,(SUM(L$35:L122)-W$10)),L122)</f>
        <v>0</v>
      </c>
      <c r="V122"/>
      <c r="W122"/>
      <c r="Y122"/>
      <c r="Z122"/>
      <c r="AA122"/>
      <c r="AB122"/>
      <c r="AC122"/>
      <c r="AD122"/>
      <c r="AE122"/>
      <c r="AF122"/>
      <c r="AG122"/>
    </row>
    <row r="123" spans="1:33" x14ac:dyDescent="0.3">
      <c r="A123" s="304">
        <v>2036</v>
      </c>
      <c r="B123" s="48" t="s">
        <v>69</v>
      </c>
      <c r="C123" s="49">
        <f>+A123</f>
        <v>2036</v>
      </c>
      <c r="D123" s="49">
        <v>89</v>
      </c>
      <c r="E123" s="49">
        <f t="shared" si="14"/>
        <v>0.61498464041750289</v>
      </c>
      <c r="F123" s="49">
        <f t="shared" si="15"/>
        <v>0.61814651172559765</v>
      </c>
      <c r="G123" s="303"/>
      <c r="H123" s="58">
        <f>+G123*F123</f>
        <v>0</v>
      </c>
      <c r="I123" s="303"/>
      <c r="J123" s="58">
        <f>+I123*F123</f>
        <v>0</v>
      </c>
      <c r="K123" s="51"/>
      <c r="L123" s="51"/>
      <c r="M123" s="58">
        <f>IF(SUM(M$35:M122)=K$33,0,IF(SUM(L$35:L123)&lt;$W$10,L123,K$33-SUM(L$35:L122)))</f>
        <v>0</v>
      </c>
      <c r="N123" s="58">
        <f t="shared" ref="N123:N134" si="22">+N122+K123-M122</f>
        <v>0</v>
      </c>
      <c r="O123" s="58">
        <f t="shared" si="16"/>
        <v>0</v>
      </c>
      <c r="P123" s="58">
        <f t="shared" si="17"/>
        <v>0</v>
      </c>
      <c r="Q123" s="58">
        <f t="shared" ref="Q123:Q134" si="23">+P123-O123</f>
        <v>0</v>
      </c>
      <c r="R123" s="58">
        <f t="shared" ref="R123:R134" si="24">+Q123*E123</f>
        <v>0</v>
      </c>
      <c r="S123" s="57">
        <f t="shared" si="19"/>
        <v>0</v>
      </c>
      <c r="T123" s="57">
        <f>IF(SUM(L$35:L122)&lt;W$10,IF(SUM(L$35:L123)&lt;W$10,0,(SUM(L$35:L123)-W$10)),L123)</f>
        <v>0</v>
      </c>
      <c r="V123">
        <f>SUM(T123:T126)</f>
        <v>0</v>
      </c>
      <c r="W123">
        <f>+V123*F123</f>
        <v>0</v>
      </c>
      <c r="Y123">
        <f>+X123*F123</f>
        <v>0</v>
      </c>
      <c r="Z123"/>
      <c r="AA123"/>
      <c r="AB123"/>
      <c r="AC123"/>
      <c r="AD123"/>
      <c r="AE123"/>
      <c r="AF123"/>
      <c r="AG123"/>
    </row>
    <row r="124" spans="1:33" x14ac:dyDescent="0.3">
      <c r="A124" s="304"/>
      <c r="B124" s="48" t="s">
        <v>70</v>
      </c>
      <c r="C124" s="49">
        <f>+C123</f>
        <v>2036</v>
      </c>
      <c r="D124" s="49">
        <v>90</v>
      </c>
      <c r="E124" s="49">
        <f t="shared" si="14"/>
        <v>0.61060355987539694</v>
      </c>
      <c r="F124" s="49">
        <f t="shared" si="15"/>
        <v>0.61814651172559765</v>
      </c>
      <c r="G124" s="303"/>
      <c r="H124" s="49"/>
      <c r="I124" s="303"/>
      <c r="J124" s="49"/>
      <c r="K124" s="51"/>
      <c r="L124" s="51"/>
      <c r="M124" s="58">
        <f>IF(SUM(M$35:M123)=K$33,0,IF(SUM(L$35:L124)&lt;$W$10,L124,K$33-SUM(L$35:L123)))</f>
        <v>0</v>
      </c>
      <c r="N124" s="58">
        <f t="shared" si="22"/>
        <v>0</v>
      </c>
      <c r="O124" s="58">
        <f t="shared" si="16"/>
        <v>0</v>
      </c>
      <c r="P124" s="58">
        <f t="shared" si="17"/>
        <v>0</v>
      </c>
      <c r="Q124" s="58">
        <f t="shared" si="23"/>
        <v>0</v>
      </c>
      <c r="R124" s="58">
        <f t="shared" si="24"/>
        <v>0</v>
      </c>
      <c r="S124" s="57">
        <f t="shared" si="19"/>
        <v>0</v>
      </c>
      <c r="T124" s="57">
        <f>IF(SUM(L$35:L123)&lt;W$10,IF(SUM(L$35:L124)&lt;W$10,0,(SUM(L$35:L124)-W$10)),L124)</f>
        <v>0</v>
      </c>
      <c r="V124"/>
      <c r="W124"/>
      <c r="Y124"/>
      <c r="Z124"/>
      <c r="AA124"/>
      <c r="AB124"/>
      <c r="AC124"/>
      <c r="AD124"/>
      <c r="AE124"/>
      <c r="AF124"/>
      <c r="AG124"/>
    </row>
    <row r="125" spans="1:33" x14ac:dyDescent="0.3">
      <c r="A125" s="304"/>
      <c r="B125" s="48" t="s">
        <v>71</v>
      </c>
      <c r="C125" s="49">
        <f>+C123</f>
        <v>2036</v>
      </c>
      <c r="D125" s="49">
        <v>91</v>
      </c>
      <c r="E125" s="49">
        <f t="shared" si="14"/>
        <v>0.60625368965214277</v>
      </c>
      <c r="F125" s="49">
        <f t="shared" si="15"/>
        <v>0.61814651172559765</v>
      </c>
      <c r="G125" s="303"/>
      <c r="H125" s="49"/>
      <c r="I125" s="303"/>
      <c r="J125" s="49"/>
      <c r="K125" s="51"/>
      <c r="L125" s="51"/>
      <c r="M125" s="58">
        <f>IF(SUM(M$35:M124)=K$33,0,IF(SUM(L$35:L125)&lt;$W$10,L125,K$33-SUM(L$35:L124)))</f>
        <v>0</v>
      </c>
      <c r="N125" s="58">
        <f t="shared" si="22"/>
        <v>0</v>
      </c>
      <c r="O125" s="58">
        <f t="shared" si="16"/>
        <v>0</v>
      </c>
      <c r="P125" s="58">
        <f t="shared" si="17"/>
        <v>0</v>
      </c>
      <c r="Q125" s="58">
        <f t="shared" si="23"/>
        <v>0</v>
      </c>
      <c r="R125" s="58">
        <f t="shared" si="24"/>
        <v>0</v>
      </c>
      <c r="S125" s="57">
        <f t="shared" si="19"/>
        <v>0</v>
      </c>
      <c r="T125" s="57">
        <f>IF(SUM(L$35:L124)&lt;W$10,IF(SUM(L$35:L125)&lt;W$10,0,(SUM(L$35:L125)-W$10)),L125)</f>
        <v>0</v>
      </c>
      <c r="V125"/>
      <c r="W125"/>
      <c r="Y125"/>
      <c r="Z125"/>
      <c r="AA125"/>
      <c r="AB125"/>
      <c r="AC125"/>
      <c r="AD125"/>
      <c r="AE125"/>
      <c r="AF125"/>
      <c r="AG125"/>
    </row>
    <row r="126" spans="1:33" x14ac:dyDescent="0.3">
      <c r="A126" s="304"/>
      <c r="B126" s="48" t="s">
        <v>72</v>
      </c>
      <c r="C126" s="49">
        <f>+C123</f>
        <v>2036</v>
      </c>
      <c r="D126" s="49">
        <v>92</v>
      </c>
      <c r="E126" s="49">
        <f t="shared" si="14"/>
        <v>0.60193480740898342</v>
      </c>
      <c r="F126" s="49">
        <f t="shared" si="15"/>
        <v>0.61814651172559765</v>
      </c>
      <c r="G126" s="303"/>
      <c r="H126" s="49"/>
      <c r="I126" s="303"/>
      <c r="J126" s="49"/>
      <c r="K126" s="51"/>
      <c r="L126" s="51"/>
      <c r="M126" s="58">
        <f>IF(SUM(M$35:M125)=K$33,0,IF(SUM(L$35:L126)&lt;$W$10,L126,K$33-SUM(L$35:L125)))</f>
        <v>0</v>
      </c>
      <c r="N126" s="58">
        <f t="shared" si="22"/>
        <v>0</v>
      </c>
      <c r="O126" s="58">
        <f t="shared" si="16"/>
        <v>0</v>
      </c>
      <c r="P126" s="58">
        <f t="shared" si="17"/>
        <v>0</v>
      </c>
      <c r="Q126" s="58">
        <f t="shared" si="23"/>
        <v>0</v>
      </c>
      <c r="R126" s="58">
        <f t="shared" si="24"/>
        <v>0</v>
      </c>
      <c r="S126" s="57">
        <f t="shared" si="19"/>
        <v>0</v>
      </c>
      <c r="T126" s="57">
        <f>IF(SUM(L$35:L125)&lt;W$10,IF(SUM(L$35:L126)&lt;W$10,0,(SUM(L$35:L126)-W$10)),L126)</f>
        <v>0</v>
      </c>
      <c r="V126"/>
      <c r="W126"/>
      <c r="Y126"/>
      <c r="Z126"/>
      <c r="AA126"/>
      <c r="AB126"/>
      <c r="AC126"/>
      <c r="AD126"/>
      <c r="AE126"/>
      <c r="AF126"/>
      <c r="AG126"/>
    </row>
    <row r="127" spans="1:33" x14ac:dyDescent="0.3">
      <c r="A127" s="304">
        <v>2037</v>
      </c>
      <c r="B127" s="48" t="s">
        <v>69</v>
      </c>
      <c r="C127" s="49">
        <f>+A127</f>
        <v>2037</v>
      </c>
      <c r="D127" s="49">
        <v>93</v>
      </c>
      <c r="E127" s="49">
        <f t="shared" si="14"/>
        <v>0.59764669239107737</v>
      </c>
      <c r="F127" s="49">
        <f t="shared" si="15"/>
        <v>0.60090066270593723</v>
      </c>
      <c r="G127" s="303"/>
      <c r="H127" s="58">
        <f>+G127*F127</f>
        <v>0</v>
      </c>
      <c r="I127" s="303"/>
      <c r="J127" s="58">
        <f>+I127*F127</f>
        <v>0</v>
      </c>
      <c r="K127" s="51"/>
      <c r="L127" s="51"/>
      <c r="M127" s="58">
        <f>IF(SUM(M$35:M126)=K$33,0,IF(SUM(L$35:L127)&lt;$W$10,L127,K$33-SUM(L$35:L126)))</f>
        <v>0</v>
      </c>
      <c r="N127" s="58">
        <f t="shared" si="22"/>
        <v>0</v>
      </c>
      <c r="O127" s="58">
        <f t="shared" si="16"/>
        <v>0</v>
      </c>
      <c r="P127" s="58">
        <f t="shared" si="17"/>
        <v>0</v>
      </c>
      <c r="Q127" s="58">
        <f t="shared" si="23"/>
        <v>0</v>
      </c>
      <c r="R127" s="58">
        <f t="shared" si="24"/>
        <v>0</v>
      </c>
      <c r="S127" s="57">
        <f t="shared" si="19"/>
        <v>0</v>
      </c>
      <c r="T127" s="57">
        <f>IF(SUM(L$35:L126)&lt;W$10,IF(SUM(L$35:L127)&lt;W$10,0,(SUM(L$35:L127)-W$10)),L127)</f>
        <v>0</v>
      </c>
      <c r="V127">
        <f>SUM(T127:T130)</f>
        <v>0</v>
      </c>
      <c r="W127">
        <f>+V127*F127</f>
        <v>0</v>
      </c>
      <c r="Y127">
        <f>+X127*F127</f>
        <v>0</v>
      </c>
      <c r="Z127"/>
      <c r="AA127"/>
      <c r="AB127"/>
      <c r="AC127"/>
      <c r="AD127"/>
      <c r="AE127"/>
      <c r="AF127"/>
      <c r="AG127"/>
    </row>
    <row r="128" spans="1:33" x14ac:dyDescent="0.3">
      <c r="A128" s="304"/>
      <c r="B128" s="48" t="s">
        <v>70</v>
      </c>
      <c r="C128" s="49">
        <f>+C127</f>
        <v>2037</v>
      </c>
      <c r="D128" s="49">
        <v>94</v>
      </c>
      <c r="E128" s="49">
        <f t="shared" si="14"/>
        <v>0.59338912541621613</v>
      </c>
      <c r="F128" s="49">
        <f t="shared" si="15"/>
        <v>0.60090066270593723</v>
      </c>
      <c r="G128" s="303"/>
      <c r="H128" s="49"/>
      <c r="I128" s="303"/>
      <c r="J128" s="49"/>
      <c r="K128" s="51"/>
      <c r="L128" s="51"/>
      <c r="M128" s="58">
        <f>IF(SUM(M$35:M127)=K$33,0,IF(SUM(L$35:L128)&lt;$W$10,L128,K$33-SUM(L$35:L127)))</f>
        <v>0</v>
      </c>
      <c r="N128" s="58">
        <f t="shared" si="22"/>
        <v>0</v>
      </c>
      <c r="O128" s="58">
        <f t="shared" si="16"/>
        <v>0</v>
      </c>
      <c r="P128" s="58">
        <f t="shared" si="17"/>
        <v>0</v>
      </c>
      <c r="Q128" s="58">
        <f t="shared" si="23"/>
        <v>0</v>
      </c>
      <c r="R128" s="58">
        <f t="shared" si="24"/>
        <v>0</v>
      </c>
      <c r="S128" s="57">
        <f t="shared" si="19"/>
        <v>0</v>
      </c>
      <c r="T128" s="57">
        <f>IF(SUM(L$35:L127)&lt;W$10,IF(SUM(L$35:L128)&lt;W$10,0,(SUM(L$35:L128)-W$10)),L128)</f>
        <v>0</v>
      </c>
      <c r="V128"/>
      <c r="W128"/>
      <c r="Y128"/>
      <c r="Z128"/>
      <c r="AA128"/>
      <c r="AB128"/>
      <c r="AC128"/>
      <c r="AD128"/>
      <c r="AE128"/>
      <c r="AF128"/>
      <c r="AG128"/>
    </row>
    <row r="129" spans="1:33" x14ac:dyDescent="0.3">
      <c r="A129" s="304"/>
      <c r="B129" s="48" t="s">
        <v>71</v>
      </c>
      <c r="C129" s="49">
        <f>+C127</f>
        <v>2037</v>
      </c>
      <c r="D129" s="49">
        <v>95</v>
      </c>
      <c r="E129" s="49">
        <f t="shared" si="14"/>
        <v>0.58916188886361975</v>
      </c>
      <c r="F129" s="49">
        <f t="shared" si="15"/>
        <v>0.60090066270593723</v>
      </c>
      <c r="G129" s="303"/>
      <c r="H129" s="49"/>
      <c r="I129" s="303"/>
      <c r="J129" s="49"/>
      <c r="K129" s="51"/>
      <c r="L129" s="51"/>
      <c r="M129" s="58">
        <f>IF(SUM(M$35:M128)=K$33,0,IF(SUM(L$35:L129)&lt;$W$10,L129,K$33-SUM(L$35:L128)))</f>
        <v>0</v>
      </c>
      <c r="N129" s="58">
        <f t="shared" si="22"/>
        <v>0</v>
      </c>
      <c r="O129" s="58">
        <f t="shared" si="16"/>
        <v>0</v>
      </c>
      <c r="P129" s="58">
        <f t="shared" si="17"/>
        <v>0</v>
      </c>
      <c r="Q129" s="58">
        <f t="shared" si="23"/>
        <v>0</v>
      </c>
      <c r="R129" s="58">
        <f t="shared" si="24"/>
        <v>0</v>
      </c>
      <c r="S129" s="57">
        <f t="shared" si="19"/>
        <v>0</v>
      </c>
      <c r="T129" s="57">
        <f>IF(SUM(L$35:L128)&lt;W$10,IF(SUM(L$35:L129)&lt;W$10,0,(SUM(L$35:L129)-W$10)),L129)</f>
        <v>0</v>
      </c>
      <c r="V129"/>
      <c r="W129"/>
      <c r="Y129"/>
      <c r="Z129"/>
      <c r="AA129"/>
      <c r="AB129"/>
      <c r="AC129"/>
      <c r="AD129"/>
      <c r="AE129"/>
      <c r="AF129"/>
      <c r="AG129"/>
    </row>
    <row r="130" spans="1:33" x14ac:dyDescent="0.3">
      <c r="A130" s="304"/>
      <c r="B130" s="48" t="s">
        <v>72</v>
      </c>
      <c r="C130" s="49">
        <f>+C127</f>
        <v>2037</v>
      </c>
      <c r="D130" s="49">
        <v>96</v>
      </c>
      <c r="E130" s="49">
        <f t="shared" si="14"/>
        <v>0.58496476666281394</v>
      </c>
      <c r="F130" s="49">
        <f t="shared" si="15"/>
        <v>0.60090066270593723</v>
      </c>
      <c r="G130" s="303"/>
      <c r="H130" s="49"/>
      <c r="I130" s="303"/>
      <c r="J130" s="49"/>
      <c r="K130" s="51"/>
      <c r="L130" s="51"/>
      <c r="M130" s="58">
        <f>IF(SUM(M$35:M129)=K$33,0,IF(SUM(L$35:L130)&lt;$W$10,L130,K$33-SUM(L$35:L129)))</f>
        <v>0</v>
      </c>
      <c r="N130" s="58">
        <f t="shared" si="22"/>
        <v>0</v>
      </c>
      <c r="O130" s="58">
        <f t="shared" si="16"/>
        <v>0</v>
      </c>
      <c r="P130" s="58">
        <f t="shared" si="17"/>
        <v>0</v>
      </c>
      <c r="Q130" s="58">
        <f t="shared" si="23"/>
        <v>0</v>
      </c>
      <c r="R130" s="58">
        <f t="shared" si="24"/>
        <v>0</v>
      </c>
      <c r="S130" s="57">
        <f t="shared" si="19"/>
        <v>0</v>
      </c>
      <c r="T130" s="57">
        <f>IF(SUM(L$35:L129)&lt;W$10,IF(SUM(L$35:L130)&lt;W$10,0,(SUM(L$35:L130)-W$10)),L130)</f>
        <v>0</v>
      </c>
      <c r="V130"/>
      <c r="W130"/>
      <c r="Y130"/>
      <c r="Z130"/>
      <c r="AA130"/>
      <c r="AB130"/>
      <c r="AC130"/>
      <c r="AD130"/>
      <c r="AE130"/>
      <c r="AF130"/>
      <c r="AG130"/>
    </row>
    <row r="131" spans="1:33" x14ac:dyDescent="0.3">
      <c r="A131" s="304">
        <v>2038</v>
      </c>
      <c r="B131" s="48" t="s">
        <v>69</v>
      </c>
      <c r="C131" s="49">
        <f>+A131</f>
        <v>2038</v>
      </c>
      <c r="D131" s="49">
        <v>97</v>
      </c>
      <c r="E131" s="49">
        <f t="shared" ref="E131:E142" si="25">IF(D131&lt;$B$11,1,(1/(1+$K$17/4)^(D131-$B$11+1)))</f>
        <v>0.58079754428258634</v>
      </c>
      <c r="F131" s="49">
        <f t="shared" ref="F131:F142" si="26">IF(C131&lt;($B$9+1),1,(1/(1+$K$17)^(C131-$B$9)))</f>
        <v>0.58413596063569295</v>
      </c>
      <c r="G131" s="303"/>
      <c r="H131" s="58">
        <f>+G131*F131</f>
        <v>0</v>
      </c>
      <c r="I131" s="303"/>
      <c r="J131" s="58">
        <f>+I131*F131</f>
        <v>0</v>
      </c>
      <c r="K131" s="51"/>
      <c r="L131" s="51"/>
      <c r="M131" s="58">
        <f>IF(SUM(M$35:M130)=K$33,0,IF(SUM(L$35:L131)&lt;$W$10,L131,K$33-SUM(L$35:L130)))</f>
        <v>0</v>
      </c>
      <c r="N131" s="58">
        <f t="shared" si="22"/>
        <v>0</v>
      </c>
      <c r="O131" s="58">
        <f t="shared" ref="O131:O142" si="27">+N131*($K$21/4)</f>
        <v>0</v>
      </c>
      <c r="P131" s="58">
        <f t="shared" ref="P131:P142" si="28">+N131*($K$20/4)</f>
        <v>0</v>
      </c>
      <c r="Q131" s="58">
        <f t="shared" si="23"/>
        <v>0</v>
      </c>
      <c r="R131" s="58">
        <f t="shared" si="24"/>
        <v>0</v>
      </c>
      <c r="S131" s="57">
        <f t="shared" ref="S131:S142" si="29">+L131-T131</f>
        <v>0</v>
      </c>
      <c r="T131" s="57">
        <f>IF(SUM(L$35:L130)&lt;W$10,IF(SUM(L$35:L131)&lt;W$10,0,(SUM(L$35:L131)-W$10)),L131)</f>
        <v>0</v>
      </c>
      <c r="V131">
        <f>SUM(T131:T134)</f>
        <v>0</v>
      </c>
      <c r="W131">
        <f>+V131*F131</f>
        <v>0</v>
      </c>
      <c r="Y131">
        <f>+X131*F131</f>
        <v>0</v>
      </c>
      <c r="Z131"/>
      <c r="AA131"/>
      <c r="AB131"/>
      <c r="AC131"/>
      <c r="AD131"/>
      <c r="AE131"/>
      <c r="AF131"/>
      <c r="AG131"/>
    </row>
    <row r="132" spans="1:33" x14ac:dyDescent="0.3">
      <c r="A132" s="304"/>
      <c r="B132" s="48" t="s">
        <v>70</v>
      </c>
      <c r="C132" s="49">
        <f>+C131</f>
        <v>2038</v>
      </c>
      <c r="D132" s="49">
        <v>98</v>
      </c>
      <c r="E132" s="49">
        <f t="shared" si="25"/>
        <v>0.57666000872002032</v>
      </c>
      <c r="F132" s="49">
        <f t="shared" si="26"/>
        <v>0.58413596063569295</v>
      </c>
      <c r="G132" s="303"/>
      <c r="H132" s="49"/>
      <c r="I132" s="303"/>
      <c r="J132" s="49"/>
      <c r="K132" s="51"/>
      <c r="L132" s="51"/>
      <c r="M132" s="58">
        <f>IF(SUM(M$35:M131)=K$33,0,IF(SUM(L$35:L132)&lt;$W$10,L132,K$33-SUM(L$35:L131)))</f>
        <v>0</v>
      </c>
      <c r="N132" s="58">
        <f t="shared" si="22"/>
        <v>0</v>
      </c>
      <c r="O132" s="58">
        <f t="shared" si="27"/>
        <v>0</v>
      </c>
      <c r="P132" s="58">
        <f t="shared" si="28"/>
        <v>0</v>
      </c>
      <c r="Q132" s="58">
        <f t="shared" si="23"/>
        <v>0</v>
      </c>
      <c r="R132" s="58">
        <f t="shared" si="24"/>
        <v>0</v>
      </c>
      <c r="S132" s="57">
        <f t="shared" si="29"/>
        <v>0</v>
      </c>
      <c r="T132" s="57">
        <f>IF(SUM(L$35:L131)&lt;W$10,IF(SUM(L$35:L132)&lt;W$10,0,(SUM(L$35:L132)-W$10)),L132)</f>
        <v>0</v>
      </c>
      <c r="V132"/>
      <c r="W132"/>
      <c r="Y132"/>
      <c r="Z132"/>
      <c r="AA132"/>
      <c r="AB132"/>
      <c r="AC132"/>
      <c r="AD132"/>
      <c r="AE132"/>
      <c r="AF132"/>
      <c r="AG132"/>
    </row>
    <row r="133" spans="1:33" x14ac:dyDescent="0.3">
      <c r="A133" s="304"/>
      <c r="B133" s="48" t="s">
        <v>71</v>
      </c>
      <c r="C133" s="49">
        <f>+C131</f>
        <v>2038</v>
      </c>
      <c r="D133" s="49">
        <v>99</v>
      </c>
      <c r="E133" s="49">
        <f t="shared" si="25"/>
        <v>0.57255194848960733</v>
      </c>
      <c r="F133" s="49">
        <f t="shared" si="26"/>
        <v>0.58413596063569295</v>
      </c>
      <c r="G133" s="303"/>
      <c r="H133" s="49"/>
      <c r="I133" s="303"/>
      <c r="J133" s="49"/>
      <c r="K133" s="51"/>
      <c r="L133" s="51"/>
      <c r="M133" s="58">
        <f>IF(SUM(M$35:M132)=K$33,0,IF(SUM(L$35:L133)&lt;$W$10,L133,K$33-SUM(L$35:L132)))</f>
        <v>0</v>
      </c>
      <c r="N133" s="58">
        <f t="shared" si="22"/>
        <v>0</v>
      </c>
      <c r="O133" s="58">
        <f t="shared" si="27"/>
        <v>0</v>
      </c>
      <c r="P133" s="58">
        <f t="shared" si="28"/>
        <v>0</v>
      </c>
      <c r="Q133" s="58">
        <f t="shared" si="23"/>
        <v>0</v>
      </c>
      <c r="R133" s="58">
        <f t="shared" si="24"/>
        <v>0</v>
      </c>
      <c r="S133" s="57">
        <f t="shared" si="29"/>
        <v>0</v>
      </c>
      <c r="T133" s="57">
        <f>IF(SUM(L$35:L132)&lt;W$10,IF(SUM(L$35:L133)&lt;W$10,0,(SUM(L$35:L133)-W$10)),L133)</f>
        <v>0</v>
      </c>
      <c r="V133"/>
      <c r="W133"/>
      <c r="Y133"/>
      <c r="Z133"/>
      <c r="AA133"/>
      <c r="AB133"/>
      <c r="AC133"/>
      <c r="AD133"/>
      <c r="AE133"/>
      <c r="AF133"/>
      <c r="AG133"/>
    </row>
    <row r="134" spans="1:33" x14ac:dyDescent="0.3">
      <c r="A134" s="304"/>
      <c r="B134" s="48" t="s">
        <v>72</v>
      </c>
      <c r="C134" s="49">
        <f>+C131</f>
        <v>2038</v>
      </c>
      <c r="D134" s="49">
        <v>100</v>
      </c>
      <c r="E134" s="49">
        <f t="shared" si="25"/>
        <v>0.56847315361243833</v>
      </c>
      <c r="F134" s="49">
        <f t="shared" si="26"/>
        <v>0.58413596063569295</v>
      </c>
      <c r="G134" s="303"/>
      <c r="H134" s="49"/>
      <c r="I134" s="303"/>
      <c r="J134" s="49"/>
      <c r="K134" s="51"/>
      <c r="L134" s="51"/>
      <c r="M134" s="58">
        <f>IF(SUM(M$35:M133)=K$33,0,IF(SUM(L$35:L134)&lt;$W$10,L134,K$33-SUM(L$35:L133)))</f>
        <v>0</v>
      </c>
      <c r="N134" s="58">
        <f t="shared" si="22"/>
        <v>0</v>
      </c>
      <c r="O134" s="58">
        <f t="shared" si="27"/>
        <v>0</v>
      </c>
      <c r="P134" s="58">
        <f t="shared" si="28"/>
        <v>0</v>
      </c>
      <c r="Q134" s="58">
        <f t="shared" si="23"/>
        <v>0</v>
      </c>
      <c r="R134" s="58">
        <f t="shared" si="24"/>
        <v>0</v>
      </c>
      <c r="S134" s="57">
        <f t="shared" si="29"/>
        <v>0</v>
      </c>
      <c r="T134" s="57">
        <f>IF(SUM(L$35:L133)&lt;W$10,IF(SUM(L$35:L134)&lt;W$10,0,(SUM(L$35:L134)-W$10)),L134)</f>
        <v>0</v>
      </c>
      <c r="V134"/>
      <c r="W134"/>
      <c r="Y134"/>
      <c r="Z134"/>
      <c r="AA134"/>
      <c r="AB134"/>
      <c r="AC134"/>
      <c r="AD134"/>
      <c r="AE134"/>
      <c r="AF134"/>
      <c r="AG134"/>
    </row>
    <row r="135" spans="1:33" x14ac:dyDescent="0.3">
      <c r="A135" s="304">
        <v>2039</v>
      </c>
      <c r="B135" s="48" t="s">
        <v>69</v>
      </c>
      <c r="C135" s="49">
        <f>+A135</f>
        <v>2039</v>
      </c>
      <c r="D135" s="49">
        <v>101</v>
      </c>
      <c r="E135" s="49">
        <f t="shared" si="25"/>
        <v>0.56442341560546894</v>
      </c>
      <c r="F135" s="49">
        <f t="shared" si="26"/>
        <v>0.5678389818564139</v>
      </c>
      <c r="G135" s="303"/>
      <c r="H135" s="58">
        <f>+G135*F135</f>
        <v>0</v>
      </c>
      <c r="I135" s="303"/>
      <c r="J135" s="58">
        <f>+I135*F135</f>
        <v>0</v>
      </c>
      <c r="K135" s="51"/>
      <c r="L135" s="51"/>
      <c r="M135" s="58">
        <f>IF(SUM(M$35:M134)=K$33,0,IF(SUM(L$35:L135)&lt;$W$10,L135,K$33-SUM(L$35:L134)))</f>
        <v>0</v>
      </c>
      <c r="N135" s="58">
        <f t="shared" ref="N135:N142" si="30">+N134+K135-M134</f>
        <v>0</v>
      </c>
      <c r="O135" s="58">
        <f t="shared" si="27"/>
        <v>0</v>
      </c>
      <c r="P135" s="58">
        <f t="shared" si="28"/>
        <v>0</v>
      </c>
      <c r="Q135" s="58">
        <f t="shared" ref="Q135:Q142" si="31">+P135-O135</f>
        <v>0</v>
      </c>
      <c r="R135" s="58">
        <f t="shared" ref="R135:R142" si="32">+Q135*E135</f>
        <v>0</v>
      </c>
      <c r="S135" s="57">
        <f t="shared" si="29"/>
        <v>0</v>
      </c>
      <c r="T135" s="57">
        <f>IF(SUM(L$35:L134)&lt;W$10,IF(SUM(L$35:L135)&lt;W$10,0,(SUM(L$35:L135)-W$10)),L135)</f>
        <v>0</v>
      </c>
      <c r="V135">
        <f>SUM(T135:T138)</f>
        <v>0</v>
      </c>
      <c r="W135">
        <f>+V135*F135</f>
        <v>0</v>
      </c>
      <c r="Y135">
        <f>+X135*F135</f>
        <v>0</v>
      </c>
      <c r="Z135"/>
      <c r="AA135"/>
      <c r="AB135"/>
      <c r="AC135"/>
      <c r="AD135"/>
      <c r="AE135"/>
      <c r="AF135"/>
      <c r="AG135"/>
    </row>
    <row r="136" spans="1:33" x14ac:dyDescent="0.3">
      <c r="A136" s="304"/>
      <c r="B136" s="48" t="s">
        <v>70</v>
      </c>
      <c r="C136" s="49">
        <f>+C135</f>
        <v>2039</v>
      </c>
      <c r="D136" s="49">
        <v>102</v>
      </c>
      <c r="E136" s="49">
        <f t="shared" si="25"/>
        <v>0.56040252747086561</v>
      </c>
      <c r="F136" s="49">
        <f t="shared" si="26"/>
        <v>0.5678389818564139</v>
      </c>
      <c r="G136" s="303"/>
      <c r="H136" s="49"/>
      <c r="I136" s="303"/>
      <c r="J136" s="49"/>
      <c r="K136" s="51"/>
      <c r="L136" s="51"/>
      <c r="M136" s="58">
        <f>IF(SUM(M$35:M135)=K$33,0,IF(SUM(L$35:L136)&lt;$W$10,L136,K$33-SUM(L$35:L135)))</f>
        <v>0</v>
      </c>
      <c r="N136" s="58">
        <f t="shared" si="30"/>
        <v>0</v>
      </c>
      <c r="O136" s="58">
        <f t="shared" si="27"/>
        <v>0</v>
      </c>
      <c r="P136" s="58">
        <f t="shared" si="28"/>
        <v>0</v>
      </c>
      <c r="Q136" s="58">
        <f t="shared" si="31"/>
        <v>0</v>
      </c>
      <c r="R136" s="58">
        <f t="shared" si="32"/>
        <v>0</v>
      </c>
      <c r="S136" s="57">
        <f t="shared" si="29"/>
        <v>0</v>
      </c>
      <c r="T136" s="57">
        <f>IF(SUM(L$35:L135)&lt;W$10,IF(SUM(L$35:L136)&lt;W$10,0,(SUM(L$35:L136)-W$10)),L136)</f>
        <v>0</v>
      </c>
      <c r="V136"/>
      <c r="W136"/>
      <c r="Y136"/>
      <c r="Z136"/>
      <c r="AA136"/>
      <c r="AB136"/>
      <c r="AC136"/>
      <c r="AD136"/>
      <c r="AE136"/>
      <c r="AF136"/>
      <c r="AG136"/>
    </row>
    <row r="137" spans="1:33" x14ac:dyDescent="0.3">
      <c r="A137" s="304"/>
      <c r="B137" s="48" t="s">
        <v>71</v>
      </c>
      <c r="C137" s="49">
        <f>+C135</f>
        <v>2039</v>
      </c>
      <c r="D137" s="49">
        <v>103</v>
      </c>
      <c r="E137" s="49">
        <f t="shared" si="25"/>
        <v>0.55641028368542267</v>
      </c>
      <c r="F137" s="49">
        <f t="shared" si="26"/>
        <v>0.5678389818564139</v>
      </c>
      <c r="G137" s="303"/>
      <c r="H137" s="49"/>
      <c r="I137" s="303"/>
      <c r="J137" s="49"/>
      <c r="K137" s="51"/>
      <c r="L137" s="51"/>
      <c r="M137" s="58">
        <f>IF(SUM(M$35:M136)=K$33,0,IF(SUM(L$35:L137)&lt;$W$10,L137,K$33-SUM(L$35:L136)))</f>
        <v>0</v>
      </c>
      <c r="N137" s="58">
        <f t="shared" si="30"/>
        <v>0</v>
      </c>
      <c r="O137" s="58">
        <f t="shared" si="27"/>
        <v>0</v>
      </c>
      <c r="P137" s="58">
        <f t="shared" si="28"/>
        <v>0</v>
      </c>
      <c r="Q137" s="58">
        <f t="shared" si="31"/>
        <v>0</v>
      </c>
      <c r="R137" s="58">
        <f t="shared" si="32"/>
        <v>0</v>
      </c>
      <c r="S137" s="57">
        <f t="shared" si="29"/>
        <v>0</v>
      </c>
      <c r="T137" s="57">
        <f>IF(SUM(L$35:L136)&lt;W$10,IF(SUM(L$35:L137)&lt;W$10,0,(SUM(L$35:L137)-W$10)),L137)</f>
        <v>0</v>
      </c>
      <c r="V137"/>
      <c r="W137"/>
      <c r="Y137"/>
      <c r="Z137"/>
      <c r="AA137"/>
      <c r="AB137"/>
      <c r="AC137"/>
      <c r="AD137"/>
      <c r="AE137"/>
      <c r="AF137"/>
      <c r="AG137"/>
    </row>
    <row r="138" spans="1:33" x14ac:dyDescent="0.3">
      <c r="A138" s="304"/>
      <c r="B138" s="48" t="s">
        <v>72</v>
      </c>
      <c r="C138" s="49">
        <f>+C135</f>
        <v>2039</v>
      </c>
      <c r="D138" s="49">
        <v>104</v>
      </c>
      <c r="E138" s="49">
        <f t="shared" si="25"/>
        <v>0.55244648019005904</v>
      </c>
      <c r="F138" s="49">
        <f t="shared" si="26"/>
        <v>0.5678389818564139</v>
      </c>
      <c r="G138" s="303"/>
      <c r="H138" s="49"/>
      <c r="I138" s="303"/>
      <c r="J138" s="49"/>
      <c r="K138" s="51"/>
      <c r="L138" s="51"/>
      <c r="M138" s="58">
        <f>IF(SUM(M$35:M137)=K$33,0,IF(SUM(L$35:L138)&lt;$W$10,L138,K$33-SUM(L$35:L137)))</f>
        <v>0</v>
      </c>
      <c r="N138" s="58">
        <f t="shared" si="30"/>
        <v>0</v>
      </c>
      <c r="O138" s="58">
        <f t="shared" si="27"/>
        <v>0</v>
      </c>
      <c r="P138" s="58">
        <f t="shared" si="28"/>
        <v>0</v>
      </c>
      <c r="Q138" s="58">
        <f t="shared" si="31"/>
        <v>0</v>
      </c>
      <c r="R138" s="58">
        <f t="shared" si="32"/>
        <v>0</v>
      </c>
      <c r="S138" s="57">
        <f t="shared" si="29"/>
        <v>0</v>
      </c>
      <c r="T138" s="57">
        <f>IF(SUM(L$35:L137)&lt;W$10,IF(SUM(L$35:L138)&lt;W$10,0,(SUM(L$35:L138)-W$10)),L138)</f>
        <v>0</v>
      </c>
      <c r="V138"/>
      <c r="W138"/>
      <c r="Y138"/>
      <c r="Z138"/>
      <c r="AA138"/>
      <c r="AB138"/>
      <c r="AC138"/>
      <c r="AD138"/>
      <c r="AE138"/>
      <c r="AF138"/>
      <c r="AG138"/>
    </row>
    <row r="139" spans="1:33" x14ac:dyDescent="0.3">
      <c r="A139" s="304">
        <v>2040</v>
      </c>
      <c r="B139" s="48" t="s">
        <v>69</v>
      </c>
      <c r="C139" s="49">
        <f>+A139</f>
        <v>2040</v>
      </c>
      <c r="D139" s="49">
        <v>105</v>
      </c>
      <c r="E139" s="49">
        <f t="shared" si="25"/>
        <v>0.54851091437938682</v>
      </c>
      <c r="F139" s="49">
        <f t="shared" si="26"/>
        <v>0.55199667722019441</v>
      </c>
      <c r="G139" s="303"/>
      <c r="H139" s="58">
        <f>+G139*F139</f>
        <v>0</v>
      </c>
      <c r="I139" s="303"/>
      <c r="J139" s="58">
        <f>+I139*F139</f>
        <v>0</v>
      </c>
      <c r="K139" s="51"/>
      <c r="L139" s="51"/>
      <c r="M139" s="58">
        <f>IF(SUM(M$35:M138)=K$33,0,IF(SUM(L$35:L139)&lt;$W$10,L139,K$33-SUM(L$35:L138)))</f>
        <v>0</v>
      </c>
      <c r="N139" s="58">
        <f t="shared" si="30"/>
        <v>0</v>
      </c>
      <c r="O139" s="58">
        <f t="shared" si="27"/>
        <v>0</v>
      </c>
      <c r="P139" s="58">
        <f t="shared" si="28"/>
        <v>0</v>
      </c>
      <c r="Q139" s="58">
        <f t="shared" si="31"/>
        <v>0</v>
      </c>
      <c r="R139" s="58">
        <f t="shared" si="32"/>
        <v>0</v>
      </c>
      <c r="S139" s="57">
        <f t="shared" si="29"/>
        <v>0</v>
      </c>
      <c r="T139" s="57">
        <f>IF(SUM(L$35:L138)&lt;W$10,IF(SUM(L$35:L139)&lt;W$10,0,(SUM(L$35:L139)-W$10)),L139)</f>
        <v>0</v>
      </c>
      <c r="V139">
        <f>SUM(T139:T142)</f>
        <v>0</v>
      </c>
      <c r="W139">
        <f>+V139*F139</f>
        <v>0</v>
      </c>
      <c r="Y139">
        <f>+X139*F139</f>
        <v>0</v>
      </c>
      <c r="Z139"/>
      <c r="AA139"/>
      <c r="AB139"/>
      <c r="AC139"/>
      <c r="AD139"/>
      <c r="AE139"/>
      <c r="AF139"/>
      <c r="AG139"/>
    </row>
    <row r="140" spans="1:33" x14ac:dyDescent="0.3">
      <c r="A140" s="304"/>
      <c r="B140" s="48" t="s">
        <v>70</v>
      </c>
      <c r="C140" s="49">
        <f>+C139</f>
        <v>2040</v>
      </c>
      <c r="D140" s="49">
        <v>106</v>
      </c>
      <c r="E140" s="49">
        <f t="shared" si="25"/>
        <v>0.54460338509135642</v>
      </c>
      <c r="F140" s="49">
        <f t="shared" si="26"/>
        <v>0.55199667722019441</v>
      </c>
      <c r="G140" s="303"/>
      <c r="H140" s="49"/>
      <c r="I140" s="303"/>
      <c r="J140" s="49"/>
      <c r="K140" s="51"/>
      <c r="L140" s="51"/>
      <c r="M140" s="58">
        <f>IF(SUM(M$35:M139)=K$33,0,IF(SUM(L$35:L140)&lt;$W$10,L140,K$33-SUM(L$35:L139)))</f>
        <v>0</v>
      </c>
      <c r="N140" s="58">
        <f t="shared" si="30"/>
        <v>0</v>
      </c>
      <c r="O140" s="58">
        <f t="shared" si="27"/>
        <v>0</v>
      </c>
      <c r="P140" s="58">
        <f t="shared" si="28"/>
        <v>0</v>
      </c>
      <c r="Q140" s="58">
        <f t="shared" si="31"/>
        <v>0</v>
      </c>
      <c r="R140" s="58">
        <f t="shared" si="32"/>
        <v>0</v>
      </c>
      <c r="S140" s="57">
        <f t="shared" si="29"/>
        <v>0</v>
      </c>
      <c r="T140" s="57">
        <f>IF(SUM(L$35:L139)&lt;W$10,IF(SUM(L$35:L140)&lt;W$10,0,(SUM(L$35:L140)-W$10)),L140)</f>
        <v>0</v>
      </c>
      <c r="V140"/>
      <c r="W140"/>
      <c r="Y140"/>
      <c r="Z140"/>
      <c r="AA140"/>
      <c r="AB140"/>
      <c r="AC140"/>
      <c r="AD140"/>
      <c r="AE140"/>
      <c r="AF140"/>
      <c r="AG140"/>
    </row>
    <row r="141" spans="1:33" x14ac:dyDescent="0.3">
      <c r="A141" s="304"/>
      <c r="B141" s="48" t="s">
        <v>71</v>
      </c>
      <c r="C141" s="49">
        <f>+C139</f>
        <v>2040</v>
      </c>
      <c r="D141" s="49">
        <v>107</v>
      </c>
      <c r="E141" s="49">
        <f t="shared" si="25"/>
        <v>0.54072369259697306</v>
      </c>
      <c r="F141" s="49">
        <f t="shared" si="26"/>
        <v>0.55199667722019441</v>
      </c>
      <c r="G141" s="303"/>
      <c r="H141" s="49"/>
      <c r="I141" s="303"/>
      <c r="J141" s="49"/>
      <c r="K141" s="51"/>
      <c r="L141" s="51"/>
      <c r="M141" s="58">
        <f>IF(SUM(M$35:M140)=K$33,0,IF(SUM(L$35:L141)&lt;$W$10,L141,K$33-SUM(L$35:L140)))</f>
        <v>0</v>
      </c>
      <c r="N141" s="58">
        <f t="shared" si="30"/>
        <v>0</v>
      </c>
      <c r="O141" s="58">
        <f t="shared" si="27"/>
        <v>0</v>
      </c>
      <c r="P141" s="58">
        <f t="shared" si="28"/>
        <v>0</v>
      </c>
      <c r="Q141" s="58">
        <f t="shared" si="31"/>
        <v>0</v>
      </c>
      <c r="R141" s="58">
        <f t="shared" si="32"/>
        <v>0</v>
      </c>
      <c r="S141" s="57">
        <f t="shared" si="29"/>
        <v>0</v>
      </c>
      <c r="T141" s="57">
        <f>IF(SUM(L$35:L140)&lt;W$10,IF(SUM(L$35:L141)&lt;W$10,0,(SUM(L$35:L141)-W$10)),L141)</f>
        <v>0</v>
      </c>
      <c r="V141"/>
      <c r="W141"/>
      <c r="Y141"/>
      <c r="Z141"/>
      <c r="AA141"/>
      <c r="AB141"/>
      <c r="AC141"/>
      <c r="AD141"/>
      <c r="AE141"/>
      <c r="AF141"/>
      <c r="AG141"/>
    </row>
    <row r="142" spans="1:33" x14ac:dyDescent="0.3">
      <c r="A142" s="304"/>
      <c r="B142" s="48" t="s">
        <v>72</v>
      </c>
      <c r="C142" s="49">
        <f>+C139</f>
        <v>2040</v>
      </c>
      <c r="D142" s="49">
        <v>108</v>
      </c>
      <c r="E142" s="49">
        <f t="shared" si="25"/>
        <v>0.53687163859008924</v>
      </c>
      <c r="F142" s="49">
        <f t="shared" si="26"/>
        <v>0.55199667722019441</v>
      </c>
      <c r="G142" s="303"/>
      <c r="H142" s="49"/>
      <c r="I142" s="303"/>
      <c r="J142" s="49"/>
      <c r="K142" s="51"/>
      <c r="L142" s="51"/>
      <c r="M142" s="58">
        <f>IF(SUM(M$35:M141)=K$33,0,IF(SUM(L$35:L142)&lt;$W$10,L142,K$33-SUM(L$35:L141)))</f>
        <v>0</v>
      </c>
      <c r="N142" s="58">
        <f t="shared" si="30"/>
        <v>0</v>
      </c>
      <c r="O142" s="58">
        <f t="shared" si="27"/>
        <v>0</v>
      </c>
      <c r="P142" s="58">
        <f t="shared" si="28"/>
        <v>0</v>
      </c>
      <c r="Q142" s="58">
        <f t="shared" si="31"/>
        <v>0</v>
      </c>
      <c r="R142" s="58">
        <f t="shared" si="32"/>
        <v>0</v>
      </c>
      <c r="S142" s="57">
        <f t="shared" si="29"/>
        <v>0</v>
      </c>
      <c r="T142" s="57">
        <f>IF(SUM(L$35:L141)&lt;W$10,IF(SUM(L$35:L142)&lt;W$10,0,(SUM(L$35:L142)-W$10)),L142)</f>
        <v>0</v>
      </c>
      <c r="V142"/>
      <c r="W142"/>
      <c r="Y142"/>
      <c r="Z142"/>
      <c r="AA142"/>
      <c r="AB142"/>
      <c r="AC142"/>
      <c r="AD142"/>
      <c r="AE142"/>
      <c r="AF142"/>
      <c r="AG142"/>
    </row>
  </sheetData>
  <sheetProtection password="DA6F" sheet="1" objects="1" scenarios="1"/>
  <mergeCells count="95">
    <mergeCell ref="AP22:AP23"/>
    <mergeCell ref="A139:A142"/>
    <mergeCell ref="G139:G142"/>
    <mergeCell ref="I139:I142"/>
    <mergeCell ref="A131:A134"/>
    <mergeCell ref="G131:G134"/>
    <mergeCell ref="I131:I134"/>
    <mergeCell ref="A135:A138"/>
    <mergeCell ref="G135:G138"/>
    <mergeCell ref="I135:I138"/>
    <mergeCell ref="A123:A126"/>
    <mergeCell ref="G123:G126"/>
    <mergeCell ref="I123:I126"/>
    <mergeCell ref="A127:A130"/>
    <mergeCell ref="G127:G130"/>
    <mergeCell ref="I127:I130"/>
    <mergeCell ref="A115:A118"/>
    <mergeCell ref="G115:G118"/>
    <mergeCell ref="I115:I118"/>
    <mergeCell ref="A119:A122"/>
    <mergeCell ref="G119:G122"/>
    <mergeCell ref="I119:I122"/>
    <mergeCell ref="A107:A110"/>
    <mergeCell ref="G107:G110"/>
    <mergeCell ref="I107:I110"/>
    <mergeCell ref="A111:A114"/>
    <mergeCell ref="G111:G114"/>
    <mergeCell ref="I111:I114"/>
    <mergeCell ref="A99:A102"/>
    <mergeCell ref="G99:G102"/>
    <mergeCell ref="I99:I102"/>
    <mergeCell ref="A103:A106"/>
    <mergeCell ref="G103:G106"/>
    <mergeCell ref="I103:I106"/>
    <mergeCell ref="A91:A94"/>
    <mergeCell ref="G91:G94"/>
    <mergeCell ref="I91:I94"/>
    <mergeCell ref="A95:A98"/>
    <mergeCell ref="G95:G98"/>
    <mergeCell ref="I95:I98"/>
    <mergeCell ref="A83:A86"/>
    <mergeCell ref="G83:G86"/>
    <mergeCell ref="I83:I86"/>
    <mergeCell ref="A87:A90"/>
    <mergeCell ref="G87:G90"/>
    <mergeCell ref="I87:I90"/>
    <mergeCell ref="A75:A78"/>
    <mergeCell ref="G75:G78"/>
    <mergeCell ref="I75:I78"/>
    <mergeCell ref="A79:A82"/>
    <mergeCell ref="G79:G82"/>
    <mergeCell ref="I79:I82"/>
    <mergeCell ref="A67:A70"/>
    <mergeCell ref="G67:G70"/>
    <mergeCell ref="I67:I70"/>
    <mergeCell ref="A71:A74"/>
    <mergeCell ref="G71:G74"/>
    <mergeCell ref="I71:I74"/>
    <mergeCell ref="A59:A62"/>
    <mergeCell ref="G59:G62"/>
    <mergeCell ref="I59:I62"/>
    <mergeCell ref="A63:A66"/>
    <mergeCell ref="G63:G66"/>
    <mergeCell ref="I63:I66"/>
    <mergeCell ref="A51:A54"/>
    <mergeCell ref="G51:G54"/>
    <mergeCell ref="I51:I54"/>
    <mergeCell ref="A55:A58"/>
    <mergeCell ref="G55:G58"/>
    <mergeCell ref="I55:I58"/>
    <mergeCell ref="A43:A46"/>
    <mergeCell ref="G43:G46"/>
    <mergeCell ref="I43:I46"/>
    <mergeCell ref="A47:A50"/>
    <mergeCell ref="G47:G50"/>
    <mergeCell ref="I47:I50"/>
    <mergeCell ref="A35:A38"/>
    <mergeCell ref="G35:G38"/>
    <mergeCell ref="I35:I38"/>
    <mergeCell ref="A39:A42"/>
    <mergeCell ref="G39:G42"/>
    <mergeCell ref="I39:I42"/>
    <mergeCell ref="A3:B4"/>
    <mergeCell ref="A5:B5"/>
    <mergeCell ref="A15:B15"/>
    <mergeCell ref="A16:B16"/>
    <mergeCell ref="AH21:AH24"/>
    <mergeCell ref="T15:T16"/>
    <mergeCell ref="A20:B20"/>
    <mergeCell ref="A21:B21"/>
    <mergeCell ref="X15:X16"/>
    <mergeCell ref="U15:U16"/>
    <mergeCell ref="A17:B17"/>
    <mergeCell ref="A18:B18"/>
    <mergeCell ref="A19:B19"/>
  </mergeCells>
  <conditionalFormatting sqref="K33">
    <cfRule type="expression" dxfId="5" priority="8" stopIfTrue="1">
      <formula>$K$33&lt;&gt;$L$33</formula>
    </cfRule>
  </conditionalFormatting>
  <conditionalFormatting sqref="L33">
    <cfRule type="expression" dxfId="4" priority="9" stopIfTrue="1">
      <formula>$L$33&lt;&gt;$T$18</formula>
    </cfRule>
  </conditionalFormatting>
  <conditionalFormatting sqref="U25">
    <cfRule type="cellIs" dxfId="3" priority="7" stopIfTrue="1" operator="greaterThan">
      <formula>0.75</formula>
    </cfRule>
  </conditionalFormatting>
  <conditionalFormatting sqref="AP18:AP19">
    <cfRule type="containsText" dxfId="2" priority="4" stopIfTrue="1" operator="containsText" text="85%">
      <formula>NOT(ISERROR(SEARCH("85%",AP18)))</formula>
    </cfRule>
  </conditionalFormatting>
  <conditionalFormatting sqref="AP19">
    <cfRule type="containsText" dxfId="1" priority="3" stopIfTrue="1" operator="containsText" text="50%">
      <formula>NOT(ISERROR(SEARCH("50%",AP19)))</formula>
    </cfRule>
  </conditionalFormatting>
  <conditionalFormatting sqref="AP22:AQ22 AQ23">
    <cfRule type="containsText" dxfId="0" priority="2" stopIfTrue="1" operator="containsText" text="pomocy">
      <formula>NOT(ISERROR(SEARCH("pomocy",AP22)))</formula>
    </cfRule>
  </conditionalFormatting>
  <dataValidations count="2">
    <dataValidation type="list" allowBlank="1" showInputMessage="1" showErrorMessage="1" sqref="K18" xr:uid="{00000000-0002-0000-0300-000000000000}">
      <formula1>$AN$16:$AN$20</formula1>
    </dataValidation>
    <dataValidation type="list" showInputMessage="1" showErrorMessage="1" sqref="K3" xr:uid="{00000000-0002-0000-0300-000001000000}">
      <formula1>$AE$8:$AE$9</formula1>
    </dataValidation>
  </dataValidations>
  <pageMargins left="0.70866141732283472" right="0.70866141732283472" top="0.74803149606299213" bottom="0.74803149606299213" header="0.31496062992125984" footer="0.31496062992125984"/>
  <pageSetup paperSize="9" scale="60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6</vt:i4>
      </vt:variant>
    </vt:vector>
  </HeadingPairs>
  <TitlesOfParts>
    <vt:vector size="10" baseType="lpstr">
      <vt:lpstr>finansowanie</vt:lpstr>
      <vt:lpstr>koszty</vt:lpstr>
      <vt:lpstr>instrukcja</vt:lpstr>
      <vt:lpstr>EDB_stary</vt:lpstr>
      <vt:lpstr>EDB_stary!Obszar_wydruku</vt:lpstr>
      <vt:lpstr>instrukcja!Obszar_wydruku</vt:lpstr>
      <vt:lpstr>koszty!Obszar_wydruku</vt:lpstr>
      <vt:lpstr>RAT</vt:lpstr>
      <vt:lpstr>RATING</vt:lpstr>
      <vt:lpstr>ratt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Ruciński Piotr</dc:creator>
  <cp:lastModifiedBy>Kudła Iwona</cp:lastModifiedBy>
  <cp:lastPrinted>2024-04-05T11:36:42Z</cp:lastPrinted>
  <dcterms:created xsi:type="dcterms:W3CDTF">2017-07-13T12:38:29Z</dcterms:created>
  <dcterms:modified xsi:type="dcterms:W3CDTF">2024-10-31T15:14:18Z</dcterms:modified>
</cp:coreProperties>
</file>